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VER\INERTIES\TOITURES\"/>
    </mc:Choice>
  </mc:AlternateContent>
  <xr:revisionPtr revIDLastSave="0" documentId="13_ncr:1_{050B64EE-D332-4ED4-814E-2BCAB2153DC6}" xr6:coauthVersionLast="46" xr6:coauthVersionMax="46" xr10:uidLastSave="{00000000-0000-0000-0000-000000000000}"/>
  <bookViews>
    <workbookView xWindow="-108" yWindow="-108" windowWidth="23256" windowHeight="12576" tabRatio="724" firstSheet="2" activeTab="2" xr2:uid="{00000000-000D-0000-FFFF-FFFF00000000}"/>
  </bookViews>
  <sheets>
    <sheet name="Chevron_renfort Alu 430752" sheetId="3" state="hidden" r:id="rId1"/>
    <sheet name="Chevron eco_renfort Alu 430752" sheetId="5" state="hidden" r:id="rId2"/>
    <sheet name="VICT 3" sheetId="6" r:id="rId3"/>
    <sheet name="VICT 5" sheetId="7" r:id="rId4"/>
    <sheet name="VICT 7" sheetId="9" r:id="rId5"/>
  </sheets>
  <definedNames>
    <definedName name="Appuis" localSheetId="2">#REF!</definedName>
    <definedName name="Appuis" localSheetId="3">#REF!</definedName>
    <definedName name="Appuis" localSheetId="4">#REF!</definedName>
    <definedName name="Appuis">#REF!</definedName>
    <definedName name="Coeff" localSheetId="2">#REF!</definedName>
    <definedName name="Coeff" localSheetId="3">#REF!</definedName>
    <definedName name="Coeff" localSheetId="4">#REF!</definedName>
    <definedName name="Coeff">#REF!</definedName>
    <definedName name="Coeff_Pente" localSheetId="2">#REF!</definedName>
    <definedName name="Coeff_Pente" localSheetId="3">#REF!</definedName>
    <definedName name="Coeff_Pente" localSheetId="4">#REF!</definedName>
    <definedName name="Coeff_Pente">#REF!</definedName>
    <definedName name="EIprofil" localSheetId="2">#REF!</definedName>
    <definedName name="EIprofil" localSheetId="3">#REF!</definedName>
    <definedName name="EIprofil" localSheetId="4">#REF!</definedName>
    <definedName name="EIprofil">#REF!</definedName>
    <definedName name="EItotal" localSheetId="2">#REF!</definedName>
    <definedName name="EItotal" localSheetId="3">#REF!</definedName>
    <definedName name="EItotal" localSheetId="4">#REF!</definedName>
    <definedName name="EItotal">#REF!</definedName>
    <definedName name="Eprofil" localSheetId="2">#REF!</definedName>
    <definedName name="Eprofil" localSheetId="3">#REF!</definedName>
    <definedName name="Eprofil" localSheetId="4">#REF!</definedName>
    <definedName name="Eprofil">#REF!</definedName>
    <definedName name="Erenfort" localSheetId="2">#REF!</definedName>
    <definedName name="Erenfort" localSheetId="3">#REF!</definedName>
    <definedName name="Erenfort" localSheetId="4">#REF!</definedName>
    <definedName name="Erenfort">#REF!</definedName>
    <definedName name="f_Acryl" localSheetId="2">#REF!</definedName>
    <definedName name="f_Acryl" localSheetId="3">#REF!</definedName>
    <definedName name="f_Acryl" localSheetId="4">#REF!</definedName>
    <definedName name="f_Acryl">#REF!</definedName>
    <definedName name="f_DV" localSheetId="2">#REF!</definedName>
    <definedName name="f_DV" localSheetId="3">#REF!</definedName>
    <definedName name="f_DV" localSheetId="4">#REF!</definedName>
    <definedName name="f_DV">#REF!</definedName>
    <definedName name="f_VF" localSheetId="2">#REF!</definedName>
    <definedName name="f_VF" localSheetId="3">#REF!</definedName>
    <definedName name="f_VF" localSheetId="4">#REF!</definedName>
    <definedName name="f_VF">#REF!</definedName>
    <definedName name="Iprofil" localSheetId="2">#REF!</definedName>
    <definedName name="Iprofil" localSheetId="3">#REF!</definedName>
    <definedName name="Iprofil" localSheetId="4">#REF!</definedName>
    <definedName name="Iprofil">#REF!</definedName>
    <definedName name="Irenfort" localSheetId="2">#REF!</definedName>
    <definedName name="Irenfort" localSheetId="3">#REF!</definedName>
    <definedName name="Irenfort" localSheetId="4">#REF!</definedName>
    <definedName name="Irenfort">#REF!</definedName>
    <definedName name="P_Acryl" localSheetId="2">#REF!</definedName>
    <definedName name="P_Acryl" localSheetId="3">#REF!</definedName>
    <definedName name="P_Acryl" localSheetId="4">#REF!</definedName>
    <definedName name="P_Acryl">#REF!</definedName>
    <definedName name="P_DV" localSheetId="2">#REF!</definedName>
    <definedName name="P_DV" localSheetId="3">#REF!</definedName>
    <definedName name="P_DV" localSheetId="4">#REF!</definedName>
    <definedName name="P_DV">#REF!</definedName>
    <definedName name="P_VF" localSheetId="2">#REF!</definedName>
    <definedName name="P_VF" localSheetId="3">#REF!</definedName>
    <definedName name="P_VF" localSheetId="4">#REF!</definedName>
    <definedName name="P_VF">#REF!</definedName>
    <definedName name="Pente" localSheetId="1">'Chevron eco_renfort Alu 430752'!$E$16:$E$23</definedName>
    <definedName name="Pente" localSheetId="2">'VICT 3'!$F$9:$F$14</definedName>
    <definedName name="Pente" localSheetId="3">'VICT 5'!$F$8:$F$13</definedName>
    <definedName name="Pente" localSheetId="4">'VICT 7'!$F$8:$F$13</definedName>
    <definedName name="Pente">'Chevron_renfort Alu 430752'!$E$16:$E$23</definedName>
    <definedName name="Pprofil" localSheetId="2">#REF!</definedName>
    <definedName name="Pprofil" localSheetId="3">#REF!</definedName>
    <definedName name="Pprofil" localSheetId="4">#REF!</definedName>
    <definedName name="Pprofil">#REF!</definedName>
    <definedName name="Prenfort" localSheetId="2">#REF!</definedName>
    <definedName name="Prenfort" localSheetId="3">#REF!</definedName>
    <definedName name="Prenfort" localSheetId="4">#REF!</definedName>
    <definedName name="Prenfort">#REF!</definedName>
    <definedName name="Profil" localSheetId="2">#REF!</definedName>
    <definedName name="Profil" localSheetId="3">#REF!</definedName>
    <definedName name="Profil" localSheetId="4">#REF!</definedName>
    <definedName name="Profil">#REF!</definedName>
    <definedName name="réduction" localSheetId="2">#REF!</definedName>
    <definedName name="réduction" localSheetId="3">#REF!</definedName>
    <definedName name="réduction" localSheetId="4">#REF!</definedName>
    <definedName name="réduction">#REF!</definedName>
    <definedName name="Rég.A" localSheetId="2">#REF!</definedName>
    <definedName name="Rég.A" localSheetId="3">#REF!</definedName>
    <definedName name="Rég.A" localSheetId="4">#REF!</definedName>
    <definedName name="Rég.A">#REF!</definedName>
    <definedName name="Rég.B" localSheetId="2">#REF!</definedName>
    <definedName name="Rég.B" localSheetId="3">#REF!</definedName>
    <definedName name="Rég.B" localSheetId="4">#REF!</definedName>
    <definedName name="Rég.B">#REF!</definedName>
    <definedName name="Rég.C" localSheetId="2">#REF!</definedName>
    <definedName name="Rég.C" localSheetId="3">#REF!</definedName>
    <definedName name="Rég.C" localSheetId="4">#REF!</definedName>
    <definedName name="Rég.C">#REF!</definedName>
    <definedName name="Rég.D" localSheetId="2">#REF!</definedName>
    <definedName name="Rég.D" localSheetId="3">#REF!</definedName>
    <definedName name="Rég.D" localSheetId="4">#REF!</definedName>
    <definedName name="Rég.D">#REF!</definedName>
    <definedName name="résultant" localSheetId="2">#REF!</definedName>
    <definedName name="résultant" localSheetId="3">#REF!</definedName>
    <definedName name="résultant" localSheetId="4">#REF!</definedName>
    <definedName name="résulta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9" l="1"/>
  <c r="H18" i="9"/>
  <c r="H17" i="9"/>
  <c r="H16" i="9"/>
  <c r="H15" i="9"/>
  <c r="H14" i="9"/>
  <c r="H13" i="9"/>
  <c r="H18" i="7"/>
  <c r="H17" i="7"/>
  <c r="H16" i="7"/>
  <c r="H15" i="7"/>
  <c r="H14" i="7"/>
  <c r="H13" i="7"/>
  <c r="G20" i="6"/>
  <c r="H19" i="6"/>
  <c r="H18" i="6"/>
  <c r="H17" i="6"/>
  <c r="H16" i="6"/>
  <c r="H15" i="6"/>
  <c r="D21" i="6" l="1"/>
  <c r="K14" i="6"/>
  <c r="L11" i="6"/>
  <c r="M11" i="6"/>
  <c r="N11" i="6"/>
  <c r="O11" i="6"/>
  <c r="P11" i="6"/>
  <c r="Q11" i="6"/>
  <c r="R11" i="6"/>
  <c r="S11" i="6"/>
  <c r="T11" i="6"/>
  <c r="K11" i="6"/>
  <c r="K20" i="6" l="1"/>
  <c r="K7" i="6"/>
  <c r="K17" i="6"/>
  <c r="K19" i="6" s="1"/>
  <c r="K13" i="6" s="1"/>
  <c r="K18" i="6" l="1"/>
  <c r="K15" i="6" s="1"/>
  <c r="K16" i="6" s="1"/>
  <c r="K24" i="6" s="1"/>
  <c r="D20" i="9"/>
  <c r="D18" i="9"/>
  <c r="D17" i="9"/>
  <c r="D20" i="7"/>
  <c r="D18" i="7"/>
  <c r="D18" i="6"/>
  <c r="D19" i="6"/>
  <c r="D22" i="6" s="1"/>
  <c r="D20" i="6" l="1"/>
  <c r="D26" i="6" s="1"/>
  <c r="D21" i="9"/>
  <c r="D19" i="9"/>
  <c r="D25" i="9" s="1"/>
  <c r="D21" i="7"/>
  <c r="D22" i="9" l="1"/>
  <c r="D24" i="9" s="1"/>
  <c r="D27" i="9" s="1"/>
  <c r="D23" i="6"/>
  <c r="D17" i="7" l="1"/>
  <c r="D19" i="7" s="1"/>
  <c r="G19" i="7"/>
  <c r="D25" i="7" l="1"/>
  <c r="D22" i="7"/>
  <c r="D24" i="7" s="1"/>
  <c r="F24" i="7" s="1"/>
  <c r="D27" i="7" l="1"/>
  <c r="D25" i="6" l="1"/>
  <c r="D28" i="6" l="1"/>
  <c r="F28" i="6"/>
  <c r="C24" i="5"/>
  <c r="C27" i="5" s="1"/>
  <c r="C28" i="5" s="1"/>
  <c r="C24" i="3"/>
  <c r="B27" i="3" s="1"/>
  <c r="B28" i="3" s="1"/>
  <c r="B27" i="5" l="1"/>
  <c r="B28" i="5" s="1"/>
  <c r="C27" i="3"/>
  <c r="C2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 COUSSENS</author>
  </authors>
  <commentList>
    <comment ref="D24" authorId="0" shapeId="0" xr:uid="{90981F10-698D-4FFC-BCF1-251D90B8167B}">
      <text>
        <r>
          <rPr>
            <b/>
            <sz val="9"/>
            <color indexed="81"/>
            <rFont val="Tahoma"/>
            <family val="2"/>
          </rPr>
          <t>Bart COUSSENS: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 COUSSENS</author>
  </authors>
  <commentList>
    <comment ref="D23" authorId="0" shapeId="0" xr:uid="{6647A340-81D2-43B5-85B8-3262874A6133}">
      <text>
        <r>
          <rPr>
            <b/>
            <sz val="9"/>
            <color indexed="81"/>
            <rFont val="Tahoma"/>
            <family val="2"/>
          </rPr>
          <t>Bart COUSSENS: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Bart COUSSENS</author>
  </authors>
  <commentList>
    <comment ref="D23" authorId="0" shapeId="0" xr:uid="{2A9F8CE1-9FF9-4AD5-82BA-FEFBA4FFDBBB}">
      <text>
        <r>
          <rPr>
            <b/>
            <sz val="9"/>
            <color indexed="81"/>
            <rFont val="Tahoma"/>
            <family val="2"/>
          </rPr>
          <t>Bart COUSSENS: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<sst xmlns="http://schemas.openxmlformats.org/spreadsheetml/2006/main" count="254" uniqueCount="89">
  <si>
    <t>Valeurs variables</t>
  </si>
  <si>
    <t>Pas des chevrons</t>
  </si>
  <si>
    <t>déscription</t>
  </si>
  <si>
    <t>unité</t>
  </si>
  <si>
    <t>Kg/m²</t>
  </si>
  <si>
    <t>m</t>
  </si>
  <si>
    <t>Valeurs fixes</t>
  </si>
  <si>
    <t>E alu</t>
  </si>
  <si>
    <t>E acier</t>
  </si>
  <si>
    <t>Pente</t>
  </si>
  <si>
    <t>Valeur</t>
  </si>
  <si>
    <t>I renfort</t>
  </si>
  <si>
    <t>cm4</t>
  </si>
  <si>
    <t>5/384</t>
  </si>
  <si>
    <t>Constante '2 appuis simples'</t>
  </si>
  <si>
    <t>Poids sur chevron</t>
  </si>
  <si>
    <t>sans renfort</t>
  </si>
  <si>
    <t>avec renfort</t>
  </si>
  <si>
    <t>Kg/mm²</t>
  </si>
  <si>
    <t>Calcul</t>
  </si>
  <si>
    <t xml:space="preserve"> - 200 pour remplissage plaque alvéolaires</t>
  </si>
  <si>
    <t xml:space="preserve"> - 300 pour remplissage vitrage</t>
  </si>
  <si>
    <t>Constante 'flèche max'</t>
  </si>
  <si>
    <t>Poids renfort</t>
  </si>
  <si>
    <t>Poids remplissage</t>
  </si>
  <si>
    <t>Charge de neige</t>
  </si>
  <si>
    <t>Pente toture</t>
  </si>
  <si>
    <t xml:space="preserve">Longueur maximale du chevron </t>
  </si>
  <si>
    <t>Poids chevron</t>
  </si>
  <si>
    <t>I chevron</t>
  </si>
  <si>
    <t>Kg/m</t>
  </si>
  <si>
    <t>Valeur à insérer</t>
  </si>
  <si>
    <t>V A R I A N T   PORTEE CHEVRON</t>
  </si>
  <si>
    <t>Chevron_105:  431356</t>
  </si>
  <si>
    <t>Renfort Alu:     430752</t>
  </si>
  <si>
    <t>V A R I A N T   PORTEE CHEVRON_105</t>
  </si>
  <si>
    <t>Chevron_105:  431509</t>
  </si>
  <si>
    <r>
      <t xml:space="preserve">version 12/11/2015   </t>
    </r>
    <r>
      <rPr>
        <sz val="10"/>
        <color rgb="FFFF0000"/>
        <rFont val="Arial"/>
        <family val="2"/>
      </rPr>
      <t>Ces valeurs sont données a titre indicatif et n'engagent pas Aluminium Systemes !</t>
    </r>
  </si>
  <si>
    <t>Ce = Ct = 1 &amp; s1 = 0 si pente&gt;5%</t>
  </si>
  <si>
    <t>Charge neige = nu * Ce * Ct * Sk + s1</t>
  </si>
  <si>
    <t>Pente toiture</t>
  </si>
  <si>
    <t>Poids sur aretier</t>
  </si>
  <si>
    <t>V A R I A N T   PORTEE ARETIER</t>
  </si>
  <si>
    <t>Poids barre aretiers</t>
  </si>
  <si>
    <t>I barre aretiers</t>
  </si>
  <si>
    <t>L veranda</t>
  </si>
  <si>
    <t>L aretier</t>
  </si>
  <si>
    <t>Pente aretier</t>
  </si>
  <si>
    <t>H surface chargé</t>
  </si>
  <si>
    <t>m²</t>
  </si>
  <si>
    <t>°</t>
  </si>
  <si>
    <t>nu =</t>
  </si>
  <si>
    <t>Fleche maxi</t>
  </si>
  <si>
    <t>mm</t>
  </si>
  <si>
    <t>kg</t>
  </si>
  <si>
    <t>kg/m</t>
  </si>
  <si>
    <t>kg/mm²</t>
  </si>
  <si>
    <t>kg/m²</t>
  </si>
  <si>
    <t>Aretier 430753</t>
  </si>
  <si>
    <t>Surface chargé vitrage</t>
  </si>
  <si>
    <t>Surface chargé neige</t>
  </si>
  <si>
    <t>L aretier (projeté sur sol)</t>
  </si>
  <si>
    <t>H surface</t>
  </si>
  <si>
    <t>Flèche</t>
  </si>
  <si>
    <t>Charge neige</t>
  </si>
  <si>
    <t>L_aretier</t>
  </si>
  <si>
    <t>L_veranda</t>
  </si>
  <si>
    <t>DEGRES(ATAN(TAN(C$4*PI()/180)*COS(45*PI()/180)))</t>
  </si>
  <si>
    <t>Pente maille</t>
  </si>
  <si>
    <t>poids vitrage</t>
  </si>
  <si>
    <t>poids chevron</t>
  </si>
  <si>
    <t>poids neige</t>
  </si>
  <si>
    <t xml:space="preserve"> = V/m² * L *((L/cos(pente))/2 *0,4142)</t>
  </si>
  <si>
    <t>h=(Lxy/2)*TAN22,5</t>
  </si>
  <si>
    <t>surface=L*h</t>
  </si>
  <si>
    <t>L_xy=L*cos(a)</t>
  </si>
  <si>
    <t>h=((L*COS)/2)*TAN22,5</t>
  </si>
  <si>
    <t>surface_xy=L_xy*h</t>
  </si>
  <si>
    <t xml:space="preserve"> = N/m² * (L*cos(pente)* L/2*04144)</t>
  </si>
  <si>
    <t>surface_xy=(L*cos(K10*PI()/180))*((Lxy/2)*tan22,5)</t>
  </si>
  <si>
    <t>N=N*surface_xy*coeff</t>
  </si>
  <si>
    <t>V=V*surface</t>
  </si>
  <si>
    <t>Valeur*</t>
  </si>
  <si>
    <t xml:space="preserve"> *valeur adapté excel&lt;=&gt;cover</t>
  </si>
  <si>
    <r>
      <t xml:space="preserve">Version 04_2021   </t>
    </r>
    <r>
      <rPr>
        <sz val="12"/>
        <color rgb="FFFF0000"/>
        <rFont val="Arial"/>
        <family val="2"/>
      </rPr>
      <t>Ces valeurs sont données a titre indicatif et n'engagent pas Flandria.</t>
    </r>
  </si>
  <si>
    <t>Ces valeurs sont données a titre indicatif et n'engagent pas Flandria.</t>
  </si>
  <si>
    <t>L&lt;6000: Aretier 431555 + chevron_80</t>
  </si>
  <si>
    <t>baco</t>
  </si>
  <si>
    <t>L&gt;6000: Aretier 430778 + chevron_105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</si>
</sst>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&quot; m&quot;"/>
    <numFmt numFmtId="165" formatCode="0.000"/>
    <numFmt numFmtId="166" formatCode="0.0"/>
    <numFmt numFmtId="167" formatCode="0.000&quot;  Kg/m&quot;"/>
    <numFmt numFmtId="168" formatCode="0.000&quot;  m&quot;"/>
  </numFmts>
  <fonts count="35" x14ac:knownFonts="1">
    <font>
      <sz val="10"/>
      <name val="MS Sans Serif"/>
    </font>
    <font>
      <b/>
      <sz val="12"/>
      <name val="MS Sans Serif"/>
      <family val="2"/>
    </font>
    <font>
      <b/>
      <sz val="10"/>
      <name val="MS Sans Serif"/>
      <family val="2"/>
    </font>
    <font>
      <sz val="12"/>
      <name val="MS Sans Serif"/>
      <family val="2"/>
    </font>
    <font>
      <b/>
      <sz val="12"/>
      <color indexed="9"/>
      <name val="MS Sans Serif"/>
      <family val="2"/>
    </font>
    <font>
      <b/>
      <u/>
      <sz val="10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2"/>
      <name val="MS Sans Serif"/>
      <family val="2"/>
    </font>
    <font>
      <b/>
      <i/>
      <sz val="12"/>
      <color indexed="9"/>
      <name val="MS Sans Serif"/>
      <family val="2"/>
    </font>
    <font>
      <b/>
      <i/>
      <sz val="10"/>
      <color indexed="9"/>
      <name val="MS Sans Serif"/>
      <family val="2"/>
    </font>
    <font>
      <b/>
      <sz val="12"/>
      <color indexed="10"/>
      <name val="MS Sans Serif"/>
      <family val="2"/>
    </font>
    <font>
      <sz val="10"/>
      <name val="MS Sans Serif"/>
      <family val="2"/>
    </font>
    <font>
      <b/>
      <sz val="12"/>
      <color indexed="12"/>
      <name val="MS Sans Serif"/>
      <family val="2"/>
    </font>
    <font>
      <i/>
      <sz val="10"/>
      <name val="MS Sans Serif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MS Sans Serif"/>
    </font>
    <font>
      <sz val="12"/>
      <name val="MS Sans Serif"/>
    </font>
    <font>
      <sz val="12"/>
      <name val="Arial"/>
      <family val="2"/>
    </font>
    <font>
      <sz val="12"/>
      <color rgb="FFFF0000"/>
      <name val="Arial"/>
      <family val="2"/>
    </font>
    <font>
      <b/>
      <u/>
      <sz val="12"/>
      <name val="MS Sans Serif"/>
      <family val="2"/>
    </font>
    <font>
      <i/>
      <sz val="12"/>
      <name val="MS Sans Serif"/>
      <family val="2"/>
    </font>
    <font>
      <sz val="12"/>
      <color rgb="FF0000CC"/>
      <name val="MS Sans Serif"/>
      <family val="2"/>
    </font>
    <font>
      <b/>
      <sz val="12"/>
      <name val="Arial"/>
      <family val="2"/>
    </font>
    <font>
      <b/>
      <sz val="12"/>
      <color rgb="FFFF0000"/>
      <name val="MS Sans Serif"/>
    </font>
    <font>
      <sz val="12"/>
      <color rgb="FFFF0000"/>
      <name val="MS Sans Serif"/>
      <family val="2"/>
    </font>
    <font>
      <b/>
      <sz val="10"/>
      <name val="MS Sans Serif"/>
    </font>
    <font>
      <sz val="12"/>
      <color rgb="FFFF0000"/>
      <name val="MS Sans Serif"/>
    </font>
    <font>
      <b/>
      <sz val="12"/>
      <color rgb="FFFF0000"/>
      <name val="MS Sans Serif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4" fillId="2" borderId="0" xfId="0" applyFont="1" applyFill="1"/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0" fillId="0" borderId="1" xfId="0" applyBorder="1"/>
    <xf numFmtId="0" fontId="6" fillId="0" borderId="1" xfId="0" applyFont="1" applyBorder="1" applyAlignment="1">
      <alignment horizontal="right"/>
    </xf>
    <xf numFmtId="0" fontId="0" fillId="0" borderId="2" xfId="0" applyBorder="1"/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0" borderId="0" xfId="0" applyFont="1" applyFill="1"/>
    <xf numFmtId="0" fontId="2" fillId="0" borderId="0" xfId="0" applyFont="1" applyFill="1" applyAlignment="1">
      <alignment horizontal="right"/>
    </xf>
    <xf numFmtId="0" fontId="3" fillId="0" borderId="2" xfId="0" applyFont="1" applyBorder="1"/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right"/>
    </xf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67" fontId="8" fillId="0" borderId="1" xfId="0" applyNumberFormat="1" applyFont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168" fontId="1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7" fillId="0" borderId="0" xfId="0" applyFont="1" applyBorder="1"/>
    <xf numFmtId="1" fontId="2" fillId="4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165" fontId="2" fillId="4" borderId="1" xfId="0" applyNumberFormat="1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vertical="center"/>
      <protection locked="0"/>
    </xf>
    <xf numFmtId="0" fontId="2" fillId="4" borderId="3" xfId="0" applyFont="1" applyFill="1" applyBorder="1" applyAlignment="1" applyProtection="1">
      <alignment horizontal="right"/>
      <protection locked="0"/>
    </xf>
    <xf numFmtId="165" fontId="12" fillId="3" borderId="1" xfId="0" applyNumberFormat="1" applyFont="1" applyFill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/>
    <xf numFmtId="0" fontId="10" fillId="0" borderId="0" xfId="0" applyFont="1" applyFill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166" fontId="12" fillId="3" borderId="1" xfId="0" applyNumberFormat="1" applyFont="1" applyFill="1" applyBorder="1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3" fillId="0" borderId="1" xfId="0" applyFont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14" fontId="15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top"/>
    </xf>
    <xf numFmtId="0" fontId="13" fillId="0" borderId="0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7" fillId="0" borderId="0" xfId="0" applyFont="1" applyAlignment="1">
      <alignment horizontal="left"/>
    </xf>
    <xf numFmtId="1" fontId="22" fillId="6" borderId="1" xfId="0" applyNumberFormat="1" applyFont="1" applyFill="1" applyBorder="1" applyProtection="1">
      <protection locked="0"/>
    </xf>
    <xf numFmtId="0" fontId="22" fillId="6" borderId="1" xfId="0" applyFont="1" applyFill="1" applyBorder="1" applyProtection="1">
      <protection locked="0"/>
    </xf>
    <xf numFmtId="165" fontId="22" fillId="6" borderId="1" xfId="0" applyNumberFormat="1" applyFont="1" applyFill="1" applyBorder="1" applyProtection="1">
      <protection locked="0"/>
    </xf>
    <xf numFmtId="14" fontId="23" fillId="0" borderId="0" xfId="0" applyNumberFormat="1" applyFont="1" applyAlignment="1">
      <alignment horizontal="left"/>
    </xf>
    <xf numFmtId="0" fontId="22" fillId="0" borderId="0" xfId="0" applyFont="1"/>
    <xf numFmtId="0" fontId="9" fillId="0" borderId="0" xfId="0" applyFont="1" applyFill="1" applyAlignment="1">
      <alignment horizontal="center" vertical="center"/>
    </xf>
    <xf numFmtId="0" fontId="1" fillId="0" borderId="0" xfId="0" applyFont="1"/>
    <xf numFmtId="0" fontId="22" fillId="0" borderId="0" xfId="0" applyFont="1" applyAlignment="1">
      <alignment horizontal="center" vertical="center"/>
    </xf>
    <xf numFmtId="0" fontId="25" fillId="0" borderId="1" xfId="0" applyFont="1" applyBorder="1"/>
    <xf numFmtId="0" fontId="25" fillId="0" borderId="3" xfId="0" applyFont="1" applyBorder="1" applyAlignment="1">
      <alignment horizontal="right"/>
    </xf>
    <xf numFmtId="0" fontId="22" fillId="0" borderId="1" xfId="0" applyFont="1" applyBorder="1"/>
    <xf numFmtId="0" fontId="3" fillId="0" borderId="3" xfId="0" applyFont="1" applyBorder="1" applyAlignment="1">
      <alignment horizontal="right"/>
    </xf>
    <xf numFmtId="166" fontId="3" fillId="5" borderId="1" xfId="0" applyNumberFormat="1" applyFont="1" applyFill="1" applyBorder="1"/>
    <xf numFmtId="0" fontId="3" fillId="5" borderId="1" xfId="0" applyFont="1" applyFill="1" applyBorder="1"/>
    <xf numFmtId="0" fontId="22" fillId="0" borderId="11" xfId="0" applyFont="1" applyBorder="1" applyAlignment="1">
      <alignment horizontal="right"/>
    </xf>
    <xf numFmtId="0" fontId="22" fillId="0" borderId="2" xfId="0" applyFont="1" applyBorder="1"/>
    <xf numFmtId="0" fontId="3" fillId="0" borderId="1" xfId="0" applyFont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22" fillId="0" borderId="10" xfId="0" applyFont="1" applyBorder="1" applyAlignment="1">
      <alignment horizontal="right"/>
    </xf>
    <xf numFmtId="2" fontId="22" fillId="0" borderId="10" xfId="0" applyNumberFormat="1" applyFont="1" applyBorder="1" applyAlignment="1"/>
    <xf numFmtId="0" fontId="22" fillId="0" borderId="15" xfId="0" applyFont="1" applyFill="1" applyBorder="1"/>
    <xf numFmtId="0" fontId="22" fillId="0" borderId="15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165" fontId="1" fillId="0" borderId="0" xfId="0" applyNumberFormat="1" applyFont="1" applyBorder="1"/>
    <xf numFmtId="0" fontId="25" fillId="0" borderId="0" xfId="0" applyFont="1" applyFill="1"/>
    <xf numFmtId="0" fontId="25" fillId="0" borderId="1" xfId="0" applyFont="1" applyBorder="1" applyAlignment="1">
      <alignment horizontal="right"/>
    </xf>
    <xf numFmtId="0" fontId="26" fillId="6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22" fillId="0" borderId="1" xfId="0" applyFont="1" applyBorder="1" applyAlignment="1">
      <alignment horizontal="right"/>
    </xf>
    <xf numFmtId="2" fontId="27" fillId="0" borderId="0" xfId="0" applyNumberFormat="1" applyFont="1" applyBorder="1"/>
    <xf numFmtId="0" fontId="3" fillId="0" borderId="1" xfId="0" applyFont="1" applyBorder="1" applyAlignment="1">
      <alignment horizontal="left"/>
    </xf>
    <xf numFmtId="1" fontId="22" fillId="0" borderId="1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Border="1"/>
    <xf numFmtId="166" fontId="22" fillId="5" borderId="1" xfId="0" applyNumberFormat="1" applyFont="1" applyFill="1" applyBorder="1" applyProtection="1">
      <protection hidden="1"/>
    </xf>
    <xf numFmtId="165" fontId="22" fillId="5" borderId="1" xfId="0" applyNumberFormat="1" applyFont="1" applyFill="1" applyBorder="1" applyProtection="1">
      <protection hidden="1"/>
    </xf>
    <xf numFmtId="0" fontId="22" fillId="0" borderId="12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2" fontId="21" fillId="0" borderId="1" xfId="0" applyNumberFormat="1" applyFont="1" applyBorder="1" applyAlignment="1"/>
    <xf numFmtId="0" fontId="28" fillId="0" borderId="0" xfId="0" applyFont="1" applyAlignment="1">
      <alignment horizontal="left"/>
    </xf>
    <xf numFmtId="2" fontId="22" fillId="0" borderId="0" xfId="0" applyNumberFormat="1" applyFont="1" applyBorder="1" applyAlignment="1"/>
    <xf numFmtId="0" fontId="22" fillId="0" borderId="0" xfId="0" applyFont="1" applyFill="1" applyBorder="1" applyAlignment="1">
      <alignment horizontal="right"/>
    </xf>
    <xf numFmtId="2" fontId="27" fillId="0" borderId="0" xfId="0" applyNumberFormat="1" applyFont="1" applyBorder="1" applyAlignment="1"/>
    <xf numFmtId="166" fontId="22" fillId="5" borderId="1" xfId="0" applyNumberFormat="1" applyFont="1" applyFill="1" applyBorder="1" applyAlignment="1">
      <alignment horizontal="center"/>
    </xf>
    <xf numFmtId="2" fontId="22" fillId="0" borderId="0" xfId="0" applyNumberFormat="1" applyFont="1" applyBorder="1"/>
    <xf numFmtId="0" fontId="29" fillId="0" borderId="1" xfId="0" applyFont="1" applyBorder="1"/>
    <xf numFmtId="166" fontId="29" fillId="5" borderId="1" xfId="0" applyNumberFormat="1" applyFont="1" applyFill="1" applyBorder="1" applyAlignment="1">
      <alignment horizontal="center"/>
    </xf>
    <xf numFmtId="0" fontId="29" fillId="0" borderId="14" xfId="0" applyFont="1" applyFill="1" applyBorder="1"/>
    <xf numFmtId="1" fontId="22" fillId="0" borderId="14" xfId="0" applyNumberFormat="1" applyFont="1" applyFill="1" applyBorder="1" applyAlignment="1" applyProtection="1">
      <alignment horizontal="right" vertical="center"/>
      <protection locked="0"/>
    </xf>
    <xf numFmtId="166" fontId="29" fillId="0" borderId="14" xfId="0" applyNumberFormat="1" applyFont="1" applyFill="1" applyBorder="1" applyAlignment="1">
      <alignment horizontal="center"/>
    </xf>
    <xf numFmtId="0" fontId="21" fillId="0" borderId="1" xfId="0" applyFont="1" applyBorder="1"/>
    <xf numFmtId="166" fontId="21" fillId="5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2" fontId="30" fillId="0" borderId="0" xfId="0" applyNumberFormat="1" applyFont="1" applyBorder="1"/>
    <xf numFmtId="0" fontId="22" fillId="0" borderId="0" xfId="0" applyFont="1" applyBorder="1" applyAlignment="1">
      <alignment horizontal="right"/>
    </xf>
    <xf numFmtId="166" fontId="29" fillId="0" borderId="14" xfId="0" applyNumberFormat="1" applyFont="1" applyFill="1" applyBorder="1" applyAlignment="1"/>
    <xf numFmtId="0" fontId="0" fillId="0" borderId="0" xfId="0" applyFont="1"/>
    <xf numFmtId="165" fontId="22" fillId="0" borderId="0" xfId="0" applyNumberFormat="1" applyFont="1" applyFill="1" applyBorder="1" applyAlignment="1">
      <alignment horizontal="right"/>
    </xf>
    <xf numFmtId="0" fontId="2" fillId="0" borderId="1" xfId="0" applyFont="1" applyBorder="1"/>
    <xf numFmtId="165" fontId="1" fillId="0" borderId="1" xfId="0" applyNumberFormat="1" applyFont="1" applyBorder="1"/>
    <xf numFmtId="2" fontId="27" fillId="0" borderId="1" xfId="0" applyNumberFormat="1" applyFont="1" applyBorder="1"/>
    <xf numFmtId="0" fontId="15" fillId="0" borderId="6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165" fontId="22" fillId="0" borderId="1" xfId="0" applyNumberFormat="1" applyFont="1" applyBorder="1"/>
    <xf numFmtId="166" fontId="22" fillId="0" borderId="0" xfId="0" applyNumberFormat="1" applyFont="1"/>
    <xf numFmtId="166" fontId="22" fillId="0" borderId="1" xfId="0" applyNumberFormat="1" applyFont="1" applyBorder="1"/>
    <xf numFmtId="0" fontId="21" fillId="0" borderId="0" xfId="0" applyFont="1"/>
    <xf numFmtId="0" fontId="21" fillId="0" borderId="0" xfId="0" applyFont="1" applyBorder="1"/>
    <xf numFmtId="14" fontId="24" fillId="0" borderId="0" xfId="0" applyNumberFormat="1" applyFont="1" applyAlignment="1">
      <alignment horizontal="left"/>
    </xf>
    <xf numFmtId="0" fontId="22" fillId="0" borderId="3" xfId="0" applyFont="1" applyBorder="1"/>
    <xf numFmtId="0" fontId="33" fillId="0" borderId="1" xfId="0" applyFont="1" applyBorder="1" applyAlignment="1">
      <alignment horizontal="right"/>
    </xf>
    <xf numFmtId="0" fontId="24" fillId="0" borderId="0" xfId="0" applyFont="1" applyAlignment="1">
      <alignment horizontal="left"/>
    </xf>
    <xf numFmtId="0" fontId="22" fillId="0" borderId="16" xfId="0" applyFont="1" applyBorder="1" applyAlignment="1">
      <alignment horizontal="right"/>
    </xf>
    <xf numFmtId="2" fontId="22" fillId="0" borderId="16" xfId="0" applyNumberFormat="1" applyFont="1" applyBorder="1" applyAlignment="1"/>
    <xf numFmtId="2" fontId="22" fillId="0" borderId="11" xfId="0" applyNumberFormat="1" applyFont="1" applyBorder="1" applyAlignment="1">
      <alignment horizontal="right"/>
    </xf>
    <xf numFmtId="0" fontId="32" fillId="0" borderId="0" xfId="0" applyFont="1" applyBorder="1"/>
    <xf numFmtId="0" fontId="29" fillId="0" borderId="1" xfId="0" applyFont="1" applyBorder="1" applyAlignment="1">
      <alignment horizontal="right"/>
    </xf>
    <xf numFmtId="2" fontId="32" fillId="0" borderId="10" xfId="0" applyNumberFormat="1" applyFont="1" applyBorder="1" applyAlignment="1"/>
    <xf numFmtId="2" fontId="32" fillId="0" borderId="12" xfId="0" applyNumberFormat="1" applyFont="1" applyBorder="1" applyAlignment="1"/>
    <xf numFmtId="2" fontId="32" fillId="0" borderId="11" xfId="0" applyNumberFormat="1" applyFont="1" applyBorder="1" applyAlignment="1">
      <alignment horizontal="right"/>
    </xf>
    <xf numFmtId="0" fontId="29" fillId="0" borderId="0" xfId="0" applyFont="1"/>
    <xf numFmtId="2" fontId="32" fillId="0" borderId="16" xfId="0" applyNumberFormat="1" applyFont="1" applyBorder="1" applyAlignment="1"/>
    <xf numFmtId="0" fontId="34" fillId="0" borderId="0" xfId="0" applyFont="1" applyAlignment="1">
      <alignment horizontal="left"/>
    </xf>
    <xf numFmtId="0" fontId="21" fillId="0" borderId="9" xfId="0" applyFont="1" applyBorder="1" applyAlignment="1">
      <alignment horizontal="right"/>
    </xf>
    <xf numFmtId="2" fontId="21" fillId="0" borderId="9" xfId="0" applyNumberFormat="1" applyFont="1" applyBorder="1" applyAlignment="1"/>
    <xf numFmtId="0" fontId="22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5" fillId="0" borderId="1" xfId="0" applyFont="1" applyBorder="1" applyAlignment="1">
      <alignment horizontal="center" vertical="center" textRotation="90"/>
    </xf>
    <xf numFmtId="0" fontId="0" fillId="0" borderId="1" xfId="0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466725</xdr:colOff>
      <xdr:row>1</xdr:row>
      <xdr:rowOff>85725</xdr:rowOff>
    </xdr:from>
    <xdr:to>
      <xdr:col>12</xdr:col>
      <xdr:colOff>609600</xdr:colOff>
      <xdr:row>28</xdr:row>
      <xdr:rowOff>104775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5175" y="247650"/>
          <a:ext cx="3190875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19050</xdr:colOff>
      <xdr:row>2</xdr:row>
      <xdr:rowOff>19050</xdr:rowOff>
    </xdr:from>
    <xdr:to>
      <xdr:col>8</xdr:col>
      <xdr:colOff>228351</xdr:colOff>
      <xdr:row>22</xdr:row>
      <xdr:rowOff>123586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86325" y="428625"/>
          <a:ext cx="1990476" cy="19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1</xdr:row>
      <xdr:rowOff>95250</xdr:rowOff>
    </xdr:from>
    <xdr:to>
      <xdr:col>12</xdr:col>
      <xdr:colOff>733425</xdr:colOff>
      <xdr:row>28</xdr:row>
      <xdr:rowOff>114300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257175"/>
          <a:ext cx="3190875" cy="312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9525</xdr:colOff>
      <xdr:row>1</xdr:row>
      <xdr:rowOff>238125</xdr:rowOff>
    </xdr:from>
    <xdr:to>
      <xdr:col>8</xdr:col>
      <xdr:colOff>247398</xdr:colOff>
      <xdr:row>22</xdr:row>
      <xdr:rowOff>28344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76800" y="400050"/>
          <a:ext cx="2019048" cy="18476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488950</xdr:colOff>
      <xdr:row>26</xdr:row>
      <xdr:rowOff>57150</xdr:rowOff>
    </xdr:from>
    <xdr:to>
      <xdr:col>3</xdr:col>
      <xdr:colOff>662940</xdr:colOff>
      <xdr:row>26</xdr:row>
      <xdr:rowOff>335280</xdr:rowOff>
    </xdr:to>
    <xdr:sp macro="" textlink="">
      <xdr:nvSpPr>
        <xdr:cNvPr id="2" name="Flèche : double flèche verticale 1">
          <a:extLst>
            <a:ext uri="{FF2B5EF4-FFF2-40B4-BE49-F238E27FC236}">
              <a16:creationId xmlns:a16="http://schemas.microsoft.com/office/drawing/2014/main" id="{41DA5894-FBAB-44EB-BC89-7047849128B9}"/>
            </a:ext>
          </a:extLst>
        </xdr:cNvPr>
        <xdr:cNvSpPr/>
      </xdr:nvSpPr>
      <xdr:spPr>
        <a:xfrm>
          <a:off x="4375150" y="5543550"/>
          <a:ext cx="173990" cy="278130"/>
        </a:xfrm>
        <a:prstGeom prst="up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25</xdr:col>
      <xdr:colOff>7620</xdr:colOff>
      <xdr:row>2</xdr:row>
      <xdr:rowOff>60960</xdr:rowOff>
    </xdr:from>
    <xdr:to>
      <xdr:col>34</xdr:col>
      <xdr:colOff>388620</xdr:colOff>
      <xdr:row>26</xdr:row>
      <xdr:rowOff>365760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792F551-5933-4DEB-B24B-37D3D41E5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6780" y="487680"/>
          <a:ext cx="5478780" cy="2651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434340</xdr:colOff>
      <xdr:row>25</xdr:row>
      <xdr:rowOff>53340</xdr:rowOff>
    </xdr:from>
    <xdr:to>
      <xdr:col>3</xdr:col>
      <xdr:colOff>608330</xdr:colOff>
      <xdr:row>25</xdr:row>
      <xdr:rowOff>331470</xdr:rowOff>
    </xdr:to>
    <xdr:sp macro="" textlink="">
      <xdr:nvSpPr>
        <xdr:cNvPr id="5" name="Flèche : double flèche verticale 4">
          <a:extLst>
            <a:ext uri="{FF2B5EF4-FFF2-40B4-BE49-F238E27FC236}">
              <a16:creationId xmlns:a16="http://schemas.microsoft.com/office/drawing/2014/main" id="{29912FEC-EA2E-4FC4-B0E4-CC9AE7A3CC36}"/>
            </a:ext>
          </a:extLst>
        </xdr:cNvPr>
        <xdr:cNvSpPr/>
      </xdr:nvSpPr>
      <xdr:spPr>
        <a:xfrm>
          <a:off x="4320540" y="5539740"/>
          <a:ext cx="173990" cy="278130"/>
        </a:xfrm>
        <a:prstGeom prst="up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4</xdr:col>
      <xdr:colOff>114300</xdr:colOff>
      <xdr:row>2</xdr:row>
      <xdr:rowOff>91440</xdr:rowOff>
    </xdr:from>
    <xdr:to>
      <xdr:col>20</xdr:col>
      <xdr:colOff>22860</xdr:colOff>
      <xdr:row>27</xdr:row>
      <xdr:rowOff>7620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A0763CB-F20F-445A-95DA-9BDEDCBA7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1540" y="518160"/>
          <a:ext cx="5471160" cy="2644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426720</xdr:colOff>
      <xdr:row>25</xdr:row>
      <xdr:rowOff>45720</xdr:rowOff>
    </xdr:from>
    <xdr:to>
      <xdr:col>3</xdr:col>
      <xdr:colOff>600710</xdr:colOff>
      <xdr:row>25</xdr:row>
      <xdr:rowOff>323850</xdr:rowOff>
    </xdr:to>
    <xdr:sp macro="" textlink="">
      <xdr:nvSpPr>
        <xdr:cNvPr id="4" name="Flèche : double flèche verticale 3">
          <a:extLst>
            <a:ext uri="{FF2B5EF4-FFF2-40B4-BE49-F238E27FC236}">
              <a16:creationId xmlns:a16="http://schemas.microsoft.com/office/drawing/2014/main" id="{77653E7B-5DAB-4F00-8171-0450087C535E}"/>
            </a:ext>
          </a:extLst>
        </xdr:cNvPr>
        <xdr:cNvSpPr/>
      </xdr:nvSpPr>
      <xdr:spPr>
        <a:xfrm>
          <a:off x="4312920" y="5532120"/>
          <a:ext cx="173990" cy="278130"/>
        </a:xfrm>
        <a:prstGeom prst="up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4</xdr:col>
      <xdr:colOff>99060</xdr:colOff>
      <xdr:row>2</xdr:row>
      <xdr:rowOff>76200</xdr:rowOff>
    </xdr:from>
    <xdr:to>
      <xdr:col>19</xdr:col>
      <xdr:colOff>312420</xdr:colOff>
      <xdr:row>27</xdr:row>
      <xdr:rowOff>7620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AECA734-90D4-45CB-9E18-30B2F619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502920"/>
          <a:ext cx="5379720" cy="2659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workbookViewId="0">
      <selection activeCell="J34" sqref="J34"/>
    </sheetView>
  </sheetViews>
  <sheetFormatPr baseColWidth="10" defaultRowHeight="12.6" x14ac:dyDescent="0.25"/>
  <cols>
    <col min="1" max="1" width="39.109375" bestFit="1" customWidth="1"/>
    <col min="2" max="2" width="14.77734375" customWidth="1"/>
    <col min="3" max="3" width="17.44140625" customWidth="1"/>
    <col min="4" max="4" width="1.77734375" customWidth="1"/>
    <col min="5" max="6" width="18.77734375" hidden="1" customWidth="1"/>
    <col min="7" max="7" width="15.21875" customWidth="1"/>
  </cols>
  <sheetData>
    <row r="1" spans="1:7" ht="13.2" x14ac:dyDescent="0.25">
      <c r="A1" s="47" t="s">
        <v>37</v>
      </c>
    </row>
    <row r="2" spans="1:7" ht="20.100000000000001" customHeight="1" x14ac:dyDescent="0.25">
      <c r="A2" s="137" t="s">
        <v>35</v>
      </c>
      <c r="B2" s="138"/>
      <c r="C2" s="138"/>
      <c r="D2" s="37"/>
      <c r="E2" s="37"/>
      <c r="F2" s="37"/>
      <c r="G2" s="37"/>
    </row>
    <row r="3" spans="1:7" x14ac:dyDescent="0.25">
      <c r="A3" s="44" t="s">
        <v>33</v>
      </c>
      <c r="B3" s="42"/>
      <c r="C3" s="42"/>
      <c r="D3" s="37"/>
      <c r="E3" s="37"/>
      <c r="F3" s="37"/>
      <c r="G3" s="37"/>
    </row>
    <row r="4" spans="1:7" x14ac:dyDescent="0.25">
      <c r="A4" s="44" t="s">
        <v>34</v>
      </c>
    </row>
    <row r="5" spans="1:7" ht="3" customHeight="1" x14ac:dyDescent="0.25"/>
    <row r="6" spans="1:7" ht="20.100000000000001" hidden="1" customHeight="1" x14ac:dyDescent="0.3">
      <c r="A6" s="3" t="s">
        <v>6</v>
      </c>
    </row>
    <row r="7" spans="1:7" ht="20.100000000000001" hidden="1" customHeight="1" x14ac:dyDescent="0.25">
      <c r="A7" s="15" t="s">
        <v>2</v>
      </c>
      <c r="B7" s="9" t="s">
        <v>3</v>
      </c>
    </row>
    <row r="8" spans="1:7" ht="20.100000000000001" hidden="1" customHeight="1" x14ac:dyDescent="0.25">
      <c r="A8" s="6" t="s">
        <v>28</v>
      </c>
      <c r="B8" s="10" t="s">
        <v>30</v>
      </c>
      <c r="C8" s="32">
        <v>2.5819999999999999</v>
      </c>
      <c r="E8" s="24"/>
      <c r="F8" s="25"/>
      <c r="G8" s="25"/>
    </row>
    <row r="9" spans="1:7" ht="20.100000000000001" hidden="1" customHeight="1" x14ac:dyDescent="0.25">
      <c r="A9" s="6" t="s">
        <v>23</v>
      </c>
      <c r="B9" s="10" t="s">
        <v>30</v>
      </c>
      <c r="C9" s="32">
        <v>3.2250000000000001</v>
      </c>
      <c r="E9" s="26"/>
      <c r="F9" s="24"/>
      <c r="G9" s="24"/>
    </row>
    <row r="10" spans="1:7" ht="20.100000000000001" hidden="1" customHeight="1" x14ac:dyDescent="0.25">
      <c r="A10" s="6" t="s">
        <v>29</v>
      </c>
      <c r="B10" s="10" t="s">
        <v>12</v>
      </c>
      <c r="C10" s="33">
        <v>176.36</v>
      </c>
    </row>
    <row r="11" spans="1:7" ht="20.100000000000001" hidden="1" customHeight="1" x14ac:dyDescent="0.25">
      <c r="A11" s="6" t="s">
        <v>11</v>
      </c>
      <c r="B11" s="10" t="s">
        <v>12</v>
      </c>
      <c r="C11" s="33">
        <v>141</v>
      </c>
      <c r="E11" s="24"/>
      <c r="F11" s="24"/>
    </row>
    <row r="12" spans="1:7" ht="20.100000000000001" hidden="1" customHeight="1" x14ac:dyDescent="0.25">
      <c r="A12" s="8" t="s">
        <v>7</v>
      </c>
      <c r="B12" s="7" t="s">
        <v>18</v>
      </c>
      <c r="C12" s="34">
        <v>7000</v>
      </c>
    </row>
    <row r="13" spans="1:7" ht="20.100000000000001" hidden="1" customHeight="1" x14ac:dyDescent="0.25">
      <c r="A13" s="8" t="s">
        <v>8</v>
      </c>
      <c r="B13" s="7" t="s">
        <v>18</v>
      </c>
      <c r="C13" s="34">
        <v>21000</v>
      </c>
    </row>
    <row r="14" spans="1:7" ht="20.100000000000001" hidden="1" customHeight="1" x14ac:dyDescent="0.25">
      <c r="A14" s="8" t="s">
        <v>14</v>
      </c>
      <c r="B14" s="4" t="s">
        <v>13</v>
      </c>
      <c r="C14" s="34">
        <v>1.2999999999999999E-2</v>
      </c>
    </row>
    <row r="15" spans="1:7" ht="12" hidden="1" customHeight="1" x14ac:dyDescent="0.25">
      <c r="E15" s="4" t="s">
        <v>9</v>
      </c>
      <c r="F15" s="4" t="s">
        <v>10</v>
      </c>
    </row>
    <row r="16" spans="1:7" ht="20.100000000000001" customHeight="1" x14ac:dyDescent="0.3">
      <c r="A16" s="3" t="s">
        <v>0</v>
      </c>
      <c r="C16" s="46" t="s">
        <v>31</v>
      </c>
      <c r="E16" s="4">
        <v>0</v>
      </c>
      <c r="F16" s="5">
        <v>1</v>
      </c>
    </row>
    <row r="17" spans="1:6" ht="15.9" customHeight="1" x14ac:dyDescent="0.25">
      <c r="A17" s="11" t="s">
        <v>2</v>
      </c>
      <c r="B17" s="17" t="s">
        <v>3</v>
      </c>
      <c r="E17" s="4">
        <v>5</v>
      </c>
      <c r="F17" s="5">
        <v>0.79700000000000004</v>
      </c>
    </row>
    <row r="18" spans="1:6" ht="15.9" customHeight="1" x14ac:dyDescent="0.25">
      <c r="A18" s="6" t="s">
        <v>24</v>
      </c>
      <c r="B18" s="10" t="s">
        <v>4</v>
      </c>
      <c r="C18" s="27">
        <v>5</v>
      </c>
      <c r="E18" s="4">
        <v>10</v>
      </c>
      <c r="F18" s="5">
        <v>0.78800000000000003</v>
      </c>
    </row>
    <row r="19" spans="1:6" ht="15.9" customHeight="1" x14ac:dyDescent="0.25">
      <c r="A19" s="6" t="s">
        <v>25</v>
      </c>
      <c r="B19" s="10" t="s">
        <v>4</v>
      </c>
      <c r="C19" s="28">
        <v>80</v>
      </c>
      <c r="E19" s="4">
        <v>15</v>
      </c>
      <c r="F19" s="5">
        <v>0.77300000000000002</v>
      </c>
    </row>
    <row r="20" spans="1:6" ht="15.9" customHeight="1" x14ac:dyDescent="0.25">
      <c r="A20" s="6" t="s">
        <v>1</v>
      </c>
      <c r="B20" s="10" t="s">
        <v>5</v>
      </c>
      <c r="C20" s="29">
        <v>1.3</v>
      </c>
      <c r="E20" s="4">
        <v>20</v>
      </c>
      <c r="F20" s="5">
        <v>0.752</v>
      </c>
    </row>
    <row r="21" spans="1:6" ht="15.9" customHeight="1" x14ac:dyDescent="0.25">
      <c r="A21" s="38" t="s">
        <v>22</v>
      </c>
      <c r="B21" s="18"/>
      <c r="C21" s="31">
        <v>200</v>
      </c>
      <c r="E21" s="4">
        <v>25</v>
      </c>
      <c r="F21" s="5">
        <v>0.72499999999999998</v>
      </c>
    </row>
    <row r="22" spans="1:6" ht="15.9" customHeight="1" x14ac:dyDescent="0.25">
      <c r="A22" s="39" t="s">
        <v>20</v>
      </c>
      <c r="B22" s="19"/>
      <c r="C22" s="12"/>
      <c r="E22" s="4">
        <v>30</v>
      </c>
      <c r="F22" s="5">
        <v>0.69299999999999995</v>
      </c>
    </row>
    <row r="23" spans="1:6" ht="15.9" customHeight="1" x14ac:dyDescent="0.25">
      <c r="A23" s="40" t="s">
        <v>21</v>
      </c>
      <c r="B23" s="20"/>
      <c r="C23" s="1"/>
      <c r="E23" s="4">
        <v>35</v>
      </c>
      <c r="F23" s="5">
        <v>0.54600000000000004</v>
      </c>
    </row>
    <row r="24" spans="1:6" ht="15.9" customHeight="1" x14ac:dyDescent="0.25">
      <c r="A24" s="16" t="s">
        <v>26</v>
      </c>
      <c r="B24" s="30">
        <v>35</v>
      </c>
      <c r="C24" s="33">
        <f>VLOOKUP(B24,E16:F23,2)</f>
        <v>0.54600000000000004</v>
      </c>
      <c r="E24" s="35"/>
      <c r="F24" s="36"/>
    </row>
    <row r="25" spans="1:6" ht="12" customHeight="1" x14ac:dyDescent="0.25"/>
    <row r="26" spans="1:6" ht="20.100000000000001" customHeight="1" x14ac:dyDescent="0.3">
      <c r="A26" s="3" t="s">
        <v>19</v>
      </c>
      <c r="B26" s="43" t="s">
        <v>16</v>
      </c>
      <c r="C26" s="45" t="s">
        <v>17</v>
      </c>
    </row>
    <row r="27" spans="1:6" ht="20.100000000000001" hidden="1" customHeight="1" x14ac:dyDescent="0.3">
      <c r="A27" s="13" t="s">
        <v>15</v>
      </c>
      <c r="B27" s="21">
        <f>(C20*(C24*C19+C18))+C8</f>
        <v>65.866000000000014</v>
      </c>
      <c r="C27" s="21">
        <f>C20*(C24*C19+C18)+C8+C9</f>
        <v>69.091000000000008</v>
      </c>
    </row>
    <row r="28" spans="1:6" ht="20.100000000000001" customHeight="1" x14ac:dyDescent="0.3">
      <c r="A28" s="13" t="s">
        <v>27</v>
      </c>
      <c r="B28" s="22">
        <f>((C10*C12*10000/(C21*C14*B27))^(1/3))/100</f>
        <v>4.1618634865029067</v>
      </c>
      <c r="C28" s="23">
        <f>((((C10*C12)+(C11*C12))*10000/(C21*C14*C27))^(1/3))/100</f>
        <v>4.9821691358547033</v>
      </c>
    </row>
    <row r="29" spans="1:6" ht="20.100000000000001" customHeight="1" x14ac:dyDescent="0.25"/>
    <row r="30" spans="1:6" ht="20.100000000000001" customHeight="1" x14ac:dyDescent="0.25"/>
    <row r="31" spans="1:6" ht="20.100000000000001" customHeight="1" x14ac:dyDescent="0.25"/>
    <row r="32" spans="1:6" ht="20.100000000000001" customHeight="1" x14ac:dyDescent="0.25"/>
    <row r="33" spans="3:3" ht="20.100000000000001" customHeight="1" x14ac:dyDescent="0.25"/>
    <row r="34" spans="3:3" ht="20.100000000000001" customHeight="1" x14ac:dyDescent="0.25"/>
    <row r="35" spans="3:3" ht="20.100000000000001" customHeight="1" x14ac:dyDescent="0.25"/>
    <row r="36" spans="3:3" ht="20.100000000000001" customHeight="1" x14ac:dyDescent="0.25"/>
    <row r="37" spans="3:3" ht="20.100000000000001" customHeight="1" x14ac:dyDescent="0.25"/>
    <row r="38" spans="3:3" ht="20.100000000000001" customHeight="1" x14ac:dyDescent="0.25"/>
    <row r="39" spans="3:3" ht="20.100000000000001" customHeight="1" x14ac:dyDescent="0.3">
      <c r="C39" s="2"/>
    </row>
    <row r="40" spans="3:3" ht="20.100000000000001" customHeight="1" x14ac:dyDescent="0.25"/>
    <row r="41" spans="3:3" ht="20.100000000000001" customHeight="1" x14ac:dyDescent="0.25"/>
    <row r="42" spans="3:3" ht="20.100000000000001" customHeight="1" x14ac:dyDescent="0.25"/>
    <row r="43" spans="3:3" ht="20.100000000000001" customHeight="1" x14ac:dyDescent="0.25"/>
    <row r="44" spans="3:3" ht="20.100000000000001" customHeight="1" x14ac:dyDescent="0.25"/>
    <row r="45" spans="3:3" ht="20.100000000000001" customHeight="1" x14ac:dyDescent="0.25"/>
    <row r="46" spans="3:3" ht="20.100000000000001" customHeight="1" x14ac:dyDescent="0.25"/>
    <row r="47" spans="3:3" ht="20.100000000000001" customHeight="1" x14ac:dyDescent="0.25"/>
    <row r="48" spans="3:3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</sheetData>
  <sheetProtection sheet="1" objects="1" scenarios="1"/>
  <mergeCells count="1">
    <mergeCell ref="A2:C2"/>
  </mergeCells>
  <phoneticPr fontId="0" type="noConversion"/>
  <pageMargins left="0" right="0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workbookViewId="0">
      <selection activeCell="H36" sqref="H36"/>
    </sheetView>
  </sheetViews>
  <sheetFormatPr baseColWidth="10" defaultRowHeight="12.6" x14ac:dyDescent="0.25"/>
  <cols>
    <col min="1" max="1" width="39.109375" bestFit="1" customWidth="1"/>
    <col min="2" max="2" width="14.77734375" customWidth="1"/>
    <col min="3" max="3" width="17.44140625" customWidth="1"/>
    <col min="4" max="4" width="1.77734375" customWidth="1"/>
    <col min="5" max="6" width="18.77734375" hidden="1" customWidth="1"/>
    <col min="7" max="7" width="15.21875" customWidth="1"/>
  </cols>
  <sheetData>
    <row r="1" spans="1:7" ht="13.2" x14ac:dyDescent="0.25">
      <c r="A1" s="47" t="s">
        <v>37</v>
      </c>
    </row>
    <row r="2" spans="1:7" ht="20.100000000000001" customHeight="1" x14ac:dyDescent="0.25">
      <c r="A2" s="137" t="s">
        <v>32</v>
      </c>
      <c r="B2" s="138"/>
      <c r="C2" s="138"/>
      <c r="D2" s="37"/>
      <c r="E2" s="37"/>
      <c r="F2" s="37"/>
      <c r="G2" s="37"/>
    </row>
    <row r="3" spans="1:7" x14ac:dyDescent="0.25">
      <c r="A3" s="44" t="s">
        <v>36</v>
      </c>
      <c r="B3" s="42"/>
      <c r="C3" s="42"/>
      <c r="D3" s="37"/>
      <c r="E3" s="37"/>
      <c r="F3" s="37"/>
      <c r="G3" s="37"/>
    </row>
    <row r="4" spans="1:7" x14ac:dyDescent="0.25">
      <c r="A4" s="44" t="s">
        <v>34</v>
      </c>
      <c r="B4" s="42"/>
      <c r="C4" s="42"/>
      <c r="D4" s="37"/>
      <c r="E4" s="37"/>
      <c r="F4" s="37"/>
      <c r="G4" s="37"/>
    </row>
    <row r="5" spans="1:7" ht="3" customHeight="1" x14ac:dyDescent="0.25"/>
    <row r="6" spans="1:7" ht="20.100000000000001" hidden="1" customHeight="1" x14ac:dyDescent="0.3">
      <c r="A6" s="3" t="s">
        <v>6</v>
      </c>
    </row>
    <row r="7" spans="1:7" ht="20.100000000000001" hidden="1" customHeight="1" x14ac:dyDescent="0.25">
      <c r="A7" s="15" t="s">
        <v>2</v>
      </c>
      <c r="B7" s="9" t="s">
        <v>3</v>
      </c>
    </row>
    <row r="8" spans="1:7" ht="20.100000000000001" hidden="1" customHeight="1" x14ac:dyDescent="0.25">
      <c r="A8" s="6" t="s">
        <v>28</v>
      </c>
      <c r="B8" s="10" t="s">
        <v>30</v>
      </c>
      <c r="C8" s="32">
        <v>2.4369999999999998</v>
      </c>
      <c r="E8" s="24"/>
      <c r="F8" s="25"/>
      <c r="G8" s="25"/>
    </row>
    <row r="9" spans="1:7" ht="20.100000000000001" hidden="1" customHeight="1" x14ac:dyDescent="0.25">
      <c r="A9" s="6" t="s">
        <v>23</v>
      </c>
      <c r="B9" s="10" t="s">
        <v>30</v>
      </c>
      <c r="C9" s="32">
        <v>3.2250000000000001</v>
      </c>
      <c r="E9" s="26"/>
      <c r="F9" s="24"/>
      <c r="G9" s="24"/>
    </row>
    <row r="10" spans="1:7" ht="20.100000000000001" hidden="1" customHeight="1" x14ac:dyDescent="0.25">
      <c r="A10" s="6" t="s">
        <v>29</v>
      </c>
      <c r="B10" s="10" t="s">
        <v>12</v>
      </c>
      <c r="C10" s="41">
        <v>169.47</v>
      </c>
    </row>
    <row r="11" spans="1:7" ht="20.100000000000001" hidden="1" customHeight="1" x14ac:dyDescent="0.25">
      <c r="A11" s="6" t="s">
        <v>11</v>
      </c>
      <c r="B11" s="10" t="s">
        <v>12</v>
      </c>
      <c r="C11" s="41">
        <v>141</v>
      </c>
      <c r="E11" s="24"/>
      <c r="F11" s="24"/>
    </row>
    <row r="12" spans="1:7" ht="20.100000000000001" hidden="1" customHeight="1" x14ac:dyDescent="0.25">
      <c r="A12" s="8" t="s">
        <v>7</v>
      </c>
      <c r="B12" s="7" t="s">
        <v>18</v>
      </c>
      <c r="C12" s="34">
        <v>7000</v>
      </c>
    </row>
    <row r="13" spans="1:7" ht="20.100000000000001" hidden="1" customHeight="1" x14ac:dyDescent="0.25">
      <c r="A13" s="8" t="s">
        <v>8</v>
      </c>
      <c r="B13" s="7" t="s">
        <v>18</v>
      </c>
      <c r="C13" s="34">
        <v>21000</v>
      </c>
    </row>
    <row r="14" spans="1:7" ht="20.100000000000001" hidden="1" customHeight="1" x14ac:dyDescent="0.25">
      <c r="A14" s="8" t="s">
        <v>14</v>
      </c>
      <c r="B14" s="4" t="s">
        <v>13</v>
      </c>
      <c r="C14" s="34">
        <v>1.2999999999999999E-2</v>
      </c>
    </row>
    <row r="15" spans="1:7" ht="12" hidden="1" customHeight="1" x14ac:dyDescent="0.25">
      <c r="E15" s="4" t="s">
        <v>9</v>
      </c>
      <c r="F15" s="4" t="s">
        <v>10</v>
      </c>
    </row>
    <row r="16" spans="1:7" ht="20.100000000000001" customHeight="1" x14ac:dyDescent="0.3">
      <c r="A16" s="3" t="s">
        <v>0</v>
      </c>
      <c r="C16" s="46" t="s">
        <v>31</v>
      </c>
      <c r="E16" s="4">
        <v>0</v>
      </c>
      <c r="F16" s="5">
        <v>1</v>
      </c>
    </row>
    <row r="17" spans="1:6" ht="15.9" customHeight="1" x14ac:dyDescent="0.25">
      <c r="A17" s="11" t="s">
        <v>2</v>
      </c>
      <c r="B17" s="17" t="s">
        <v>3</v>
      </c>
      <c r="E17" s="4">
        <v>5</v>
      </c>
      <c r="F17" s="5">
        <v>0.79700000000000004</v>
      </c>
    </row>
    <row r="18" spans="1:6" ht="15.9" customHeight="1" x14ac:dyDescent="0.25">
      <c r="A18" s="6" t="s">
        <v>24</v>
      </c>
      <c r="B18" s="10" t="s">
        <v>4</v>
      </c>
      <c r="C18" s="27">
        <v>5</v>
      </c>
      <c r="E18" s="4">
        <v>10</v>
      </c>
      <c r="F18" s="5">
        <v>0.78800000000000003</v>
      </c>
    </row>
    <row r="19" spans="1:6" ht="15.9" customHeight="1" x14ac:dyDescent="0.25">
      <c r="A19" s="6" t="s">
        <v>25</v>
      </c>
      <c r="B19" s="10" t="s">
        <v>4</v>
      </c>
      <c r="C19" s="28">
        <v>80</v>
      </c>
      <c r="E19" s="4">
        <v>15</v>
      </c>
      <c r="F19" s="5">
        <v>0.77300000000000002</v>
      </c>
    </row>
    <row r="20" spans="1:6" ht="15.9" customHeight="1" x14ac:dyDescent="0.25">
      <c r="A20" s="6" t="s">
        <v>1</v>
      </c>
      <c r="B20" s="10" t="s">
        <v>5</v>
      </c>
      <c r="C20" s="29">
        <v>1.3</v>
      </c>
      <c r="E20" s="4">
        <v>20</v>
      </c>
      <c r="F20" s="5">
        <v>0.752</v>
      </c>
    </row>
    <row r="21" spans="1:6" ht="15.9" customHeight="1" x14ac:dyDescent="0.25">
      <c r="A21" s="38" t="s">
        <v>22</v>
      </c>
      <c r="B21" s="18"/>
      <c r="C21" s="31">
        <v>200</v>
      </c>
      <c r="E21" s="4">
        <v>25</v>
      </c>
      <c r="F21" s="5">
        <v>0.72499999999999998</v>
      </c>
    </row>
    <row r="22" spans="1:6" ht="15.9" customHeight="1" x14ac:dyDescent="0.25">
      <c r="A22" s="39" t="s">
        <v>20</v>
      </c>
      <c r="B22" s="19"/>
      <c r="C22" s="12"/>
      <c r="E22" s="4">
        <v>30</v>
      </c>
      <c r="F22" s="5">
        <v>0.69299999999999995</v>
      </c>
    </row>
    <row r="23" spans="1:6" ht="15.9" customHeight="1" x14ac:dyDescent="0.25">
      <c r="A23" s="40" t="s">
        <v>21</v>
      </c>
      <c r="B23" s="20"/>
      <c r="C23" s="1"/>
      <c r="E23" s="4">
        <v>35</v>
      </c>
      <c r="F23" s="5">
        <v>0.54600000000000004</v>
      </c>
    </row>
    <row r="24" spans="1:6" ht="15.9" customHeight="1" x14ac:dyDescent="0.25">
      <c r="A24" s="16" t="s">
        <v>26</v>
      </c>
      <c r="B24" s="30">
        <v>35</v>
      </c>
      <c r="C24" s="33">
        <f>VLOOKUP(B24,E16:F23,2)</f>
        <v>0.54600000000000004</v>
      </c>
      <c r="E24" s="35"/>
      <c r="F24" s="36"/>
    </row>
    <row r="25" spans="1:6" ht="12" customHeight="1" x14ac:dyDescent="0.25"/>
    <row r="26" spans="1:6" ht="20.100000000000001" customHeight="1" x14ac:dyDescent="0.3">
      <c r="A26" s="3" t="s">
        <v>19</v>
      </c>
      <c r="B26" s="14" t="s">
        <v>16</v>
      </c>
      <c r="C26" s="14" t="s">
        <v>17</v>
      </c>
    </row>
    <row r="27" spans="1:6" ht="20.100000000000001" hidden="1" customHeight="1" x14ac:dyDescent="0.3">
      <c r="A27" s="13" t="s">
        <v>15</v>
      </c>
      <c r="B27" s="21">
        <f>(C20*(C24*C19+C18))+C8</f>
        <v>65.721000000000018</v>
      </c>
      <c r="C27" s="21">
        <f>C20*(C24*C19+C18)+C8+C9</f>
        <v>68.946000000000012</v>
      </c>
    </row>
    <row r="28" spans="1:6" ht="20.100000000000001" customHeight="1" x14ac:dyDescent="0.3">
      <c r="A28" s="13" t="s">
        <v>27</v>
      </c>
      <c r="B28" s="22">
        <f>((C10*C12*10000/(C21*C14*B27))^(1/3))/100</f>
        <v>4.1099618078398361</v>
      </c>
      <c r="C28" s="23">
        <f>((((C10*C12)+(C11*C12))*10000/(C21*C14*C27))^(1/3))/100</f>
        <v>4.949314895021228</v>
      </c>
    </row>
    <row r="29" spans="1:6" ht="20.100000000000001" customHeight="1" x14ac:dyDescent="0.25"/>
    <row r="30" spans="1:6" ht="20.100000000000001" customHeight="1" x14ac:dyDescent="0.25"/>
    <row r="31" spans="1:6" ht="20.100000000000001" customHeight="1" x14ac:dyDescent="0.25"/>
    <row r="32" spans="1:6" ht="20.100000000000001" customHeight="1" x14ac:dyDescent="0.25"/>
    <row r="33" spans="3:3" ht="20.100000000000001" customHeight="1" x14ac:dyDescent="0.25"/>
    <row r="34" spans="3:3" ht="20.100000000000001" customHeight="1" x14ac:dyDescent="0.25"/>
    <row r="35" spans="3:3" ht="20.100000000000001" customHeight="1" x14ac:dyDescent="0.25"/>
    <row r="36" spans="3:3" ht="20.100000000000001" customHeight="1" x14ac:dyDescent="0.25"/>
    <row r="37" spans="3:3" ht="20.100000000000001" customHeight="1" x14ac:dyDescent="0.25"/>
    <row r="38" spans="3:3" ht="20.100000000000001" customHeight="1" x14ac:dyDescent="0.25"/>
    <row r="39" spans="3:3" ht="20.100000000000001" customHeight="1" x14ac:dyDescent="0.3">
      <c r="C39" s="2"/>
    </row>
    <row r="40" spans="3:3" ht="20.100000000000001" customHeight="1" x14ac:dyDescent="0.25"/>
    <row r="41" spans="3:3" ht="20.100000000000001" customHeight="1" x14ac:dyDescent="0.25"/>
    <row r="42" spans="3:3" ht="20.100000000000001" customHeight="1" x14ac:dyDescent="0.25"/>
    <row r="43" spans="3:3" ht="20.100000000000001" customHeight="1" x14ac:dyDescent="0.25"/>
    <row r="44" spans="3:3" ht="20.100000000000001" customHeight="1" x14ac:dyDescent="0.25"/>
    <row r="45" spans="3:3" ht="20.100000000000001" customHeight="1" x14ac:dyDescent="0.25"/>
    <row r="46" spans="3:3" ht="20.100000000000001" customHeight="1" x14ac:dyDescent="0.25"/>
    <row r="47" spans="3:3" ht="20.100000000000001" customHeight="1" x14ac:dyDescent="0.25"/>
    <row r="48" spans="3:3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</sheetData>
  <sheetProtection sheet="1" objects="1" scenarios="1"/>
  <mergeCells count="1">
    <mergeCell ref="A2:C2"/>
  </mergeCells>
  <phoneticPr fontId="0" type="noConversion"/>
  <pageMargins left="0" right="0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F47"/>
  <sheetViews>
    <sheetView tabSelected="1" workbookViewId="0">
      <selection activeCell="D32" sqref="D32"/>
    </sheetView>
  </sheetViews>
  <sheetFormatPr baseColWidth="10" defaultRowHeight="15.6" x14ac:dyDescent="0.3"/>
  <cols>
    <col min="1" max="1" width="1.77734375" style="56" customWidth="1"/>
    <col min="2" max="2" width="39.109375" style="56" bestFit="1" customWidth="1"/>
    <col min="3" max="3" width="8.33203125" style="56" bestFit="1" customWidth="1"/>
    <col min="4" max="4" width="17.6640625" style="56" bestFit="1" customWidth="1"/>
    <col min="5" max="5" width="1.77734375" style="56" customWidth="1"/>
    <col min="6" max="7" width="10.77734375" style="56" hidden="1" customWidth="1"/>
    <col min="8" max="8" width="12.77734375" style="56" hidden="1" customWidth="1"/>
    <col min="9" max="9" width="3.33203125" style="56" hidden="1" customWidth="1"/>
    <col min="10" max="10" width="22.77734375" style="56" hidden="1" customWidth="1"/>
    <col min="11" max="20" width="9.77734375" style="56" hidden="1" customWidth="1"/>
    <col min="21" max="21" width="6.77734375" style="56" hidden="1" customWidth="1"/>
    <col min="22" max="25" width="5.77734375" style="56" hidden="1" customWidth="1"/>
    <col min="26" max="30" width="5.77734375" style="56" customWidth="1"/>
    <col min="31" max="31" width="10.77734375" style="56" customWidth="1"/>
    <col min="32" max="16384" width="11.5546875" style="56"/>
  </cols>
  <sheetData>
    <row r="1" spans="2:20" x14ac:dyDescent="0.3">
      <c r="B1" s="55" t="s">
        <v>84</v>
      </c>
    </row>
    <row r="2" spans="2:20" ht="18" customHeight="1" x14ac:dyDescent="0.3">
      <c r="B2" s="137" t="s">
        <v>42</v>
      </c>
      <c r="C2" s="139"/>
      <c r="D2" s="139"/>
      <c r="E2" s="57"/>
      <c r="F2" s="57"/>
      <c r="G2" s="57"/>
      <c r="H2" s="57"/>
    </row>
    <row r="3" spans="2:20" ht="18" customHeight="1" x14ac:dyDescent="0.3">
      <c r="B3" s="58" t="s">
        <v>86</v>
      </c>
      <c r="C3" s="59"/>
      <c r="D3" s="59"/>
      <c r="E3" s="57"/>
      <c r="F3" s="57"/>
      <c r="G3" s="57"/>
      <c r="H3" s="57"/>
    </row>
    <row r="4" spans="2:20" ht="18" customHeight="1" x14ac:dyDescent="0.3">
      <c r="B4" s="58" t="s">
        <v>88</v>
      </c>
      <c r="C4" s="136"/>
      <c r="D4" s="136"/>
      <c r="E4" s="57"/>
      <c r="F4" s="57"/>
      <c r="G4" s="57"/>
      <c r="H4" s="57"/>
    </row>
    <row r="5" spans="2:20" ht="4.8" customHeight="1" x14ac:dyDescent="0.3"/>
    <row r="6" spans="2:20" ht="18" hidden="1" customHeight="1" x14ac:dyDescent="0.3">
      <c r="B6" s="3" t="s">
        <v>6</v>
      </c>
    </row>
    <row r="7" spans="2:20" ht="18" hidden="1" customHeight="1" x14ac:dyDescent="0.3">
      <c r="B7" s="60" t="s">
        <v>2</v>
      </c>
      <c r="C7" s="61" t="s">
        <v>3</v>
      </c>
      <c r="F7" s="14" t="s">
        <v>9</v>
      </c>
      <c r="G7" s="121" t="s">
        <v>82</v>
      </c>
      <c r="H7" s="14" t="s">
        <v>10</v>
      </c>
      <c r="K7" s="56">
        <f>VLOOKUP(K$11,$F$9:$G$19,2)</f>
        <v>0.7</v>
      </c>
    </row>
    <row r="8" spans="2:20" ht="18" hidden="1" customHeight="1" x14ac:dyDescent="0.3">
      <c r="B8" s="62" t="s">
        <v>43</v>
      </c>
      <c r="C8" s="63" t="s">
        <v>55</v>
      </c>
      <c r="D8" s="64">
        <v>8.8000000000000007</v>
      </c>
      <c r="F8" s="66">
        <v>5</v>
      </c>
      <c r="G8" s="130">
        <v>0.7</v>
      </c>
      <c r="H8" s="125">
        <v>0.8</v>
      </c>
    </row>
    <row r="9" spans="2:20" ht="18" hidden="1" customHeight="1" x14ac:dyDescent="0.3">
      <c r="B9" s="62" t="s">
        <v>44</v>
      </c>
      <c r="C9" s="63" t="s">
        <v>12</v>
      </c>
      <c r="D9" s="65">
        <v>575.6</v>
      </c>
      <c r="F9" s="70">
        <v>10</v>
      </c>
      <c r="G9" s="128">
        <v>0.7</v>
      </c>
      <c r="H9" s="71">
        <v>0.8</v>
      </c>
    </row>
    <row r="10" spans="2:20" ht="18" hidden="1" customHeight="1" x14ac:dyDescent="0.3">
      <c r="B10" s="67" t="s">
        <v>7</v>
      </c>
      <c r="C10" s="68" t="s">
        <v>56</v>
      </c>
      <c r="D10" s="69">
        <v>7000</v>
      </c>
      <c r="F10" s="70">
        <v>15</v>
      </c>
      <c r="G10" s="128">
        <v>0.7</v>
      </c>
      <c r="H10" s="71">
        <v>0.8</v>
      </c>
      <c r="I10" s="112"/>
      <c r="J10" s="113" t="s">
        <v>68</v>
      </c>
      <c r="K10" s="62">
        <v>15</v>
      </c>
      <c r="L10" s="62">
        <v>15</v>
      </c>
      <c r="M10" s="62">
        <v>20</v>
      </c>
      <c r="N10" s="62">
        <v>20</v>
      </c>
      <c r="O10" s="62">
        <v>25</v>
      </c>
      <c r="P10" s="62">
        <v>25</v>
      </c>
      <c r="Q10" s="62">
        <v>30</v>
      </c>
      <c r="R10" s="62">
        <v>30</v>
      </c>
      <c r="S10" s="62">
        <v>35</v>
      </c>
      <c r="T10" s="62">
        <v>35</v>
      </c>
    </row>
    <row r="11" spans="2:20" ht="18" hidden="1" customHeight="1" x14ac:dyDescent="0.3">
      <c r="B11" s="72"/>
      <c r="C11" s="73"/>
      <c r="D11" s="74"/>
      <c r="F11" s="70">
        <v>16</v>
      </c>
      <c r="G11" s="128">
        <v>0.8</v>
      </c>
      <c r="H11" s="71">
        <v>0.8</v>
      </c>
      <c r="J11" s="80" t="s">
        <v>47</v>
      </c>
      <c r="K11" s="116">
        <f>DEGREES(ATAN(TAN(K$10*PI()/180)*COS(45*PI()/180)))</f>
        <v>10.728583121609059</v>
      </c>
      <c r="L11" s="116">
        <f t="shared" ref="L11:T11" si="0">DEGREES(ATAN(TAN(L$10*PI()/180)*COS(45*PI()/180)))</f>
        <v>10.728583121609059</v>
      </c>
      <c r="M11" s="116">
        <f t="shared" si="0"/>
        <v>14.432755043267381</v>
      </c>
      <c r="N11" s="116">
        <f t="shared" si="0"/>
        <v>14.432755043267381</v>
      </c>
      <c r="O11" s="116">
        <f t="shared" si="0"/>
        <v>18.248902383234402</v>
      </c>
      <c r="P11" s="116">
        <f t="shared" si="0"/>
        <v>18.248902383234402</v>
      </c>
      <c r="Q11" s="116">
        <f t="shared" si="0"/>
        <v>22.207654298596488</v>
      </c>
      <c r="R11" s="116">
        <f t="shared" si="0"/>
        <v>22.207654298596488</v>
      </c>
      <c r="S11" s="116">
        <f t="shared" si="0"/>
        <v>26.341001068585889</v>
      </c>
      <c r="T11" s="116">
        <f t="shared" si="0"/>
        <v>26.341001068585889</v>
      </c>
    </row>
    <row r="12" spans="2:20" ht="18" customHeight="1" x14ac:dyDescent="0.3">
      <c r="B12" s="3" t="s">
        <v>0</v>
      </c>
      <c r="F12" s="70">
        <v>20</v>
      </c>
      <c r="G12" s="128">
        <v>0.8</v>
      </c>
      <c r="H12" s="71">
        <v>0.8</v>
      </c>
    </row>
    <row r="13" spans="2:20" ht="18" customHeight="1" x14ac:dyDescent="0.3">
      <c r="B13" s="76" t="s">
        <v>2</v>
      </c>
      <c r="C13" s="77" t="s">
        <v>3</v>
      </c>
      <c r="D13" s="78" t="s">
        <v>31</v>
      </c>
      <c r="F13" s="70">
        <v>25</v>
      </c>
      <c r="G13" s="128">
        <v>0.9</v>
      </c>
      <c r="H13" s="71">
        <v>0.8</v>
      </c>
      <c r="J13" s="56" t="s">
        <v>69</v>
      </c>
      <c r="K13" s="115">
        <f>$D$14*K19</f>
        <v>7.1220297813880888</v>
      </c>
      <c r="L13" s="117" t="s">
        <v>81</v>
      </c>
      <c r="Q13" s="56" t="s">
        <v>72</v>
      </c>
    </row>
    <row r="14" spans="2:20" ht="18" customHeight="1" x14ac:dyDescent="0.3">
      <c r="B14" s="62" t="s">
        <v>24</v>
      </c>
      <c r="C14" s="80" t="s">
        <v>57</v>
      </c>
      <c r="D14" s="52">
        <v>35</v>
      </c>
      <c r="F14" s="70">
        <v>30</v>
      </c>
      <c r="G14" s="128">
        <v>0.9</v>
      </c>
      <c r="H14" s="71">
        <v>0.8</v>
      </c>
      <c r="J14" s="56" t="s">
        <v>70</v>
      </c>
      <c r="K14" s="115">
        <f>$D$8</f>
        <v>8.8000000000000007</v>
      </c>
    </row>
    <row r="15" spans="2:20" ht="18" customHeight="1" x14ac:dyDescent="0.3">
      <c r="B15" s="62" t="s">
        <v>25</v>
      </c>
      <c r="C15" s="80" t="s">
        <v>57</v>
      </c>
      <c r="D15" s="53">
        <v>45</v>
      </c>
      <c r="F15" s="70">
        <v>31</v>
      </c>
      <c r="G15" s="128">
        <v>0.9</v>
      </c>
      <c r="H15" s="71">
        <f t="shared" ref="H15:H19" si="1">0.8*(60-$F15)/30</f>
        <v>0.77333333333333343</v>
      </c>
      <c r="J15" s="56" t="s">
        <v>71</v>
      </c>
      <c r="K15" s="115">
        <f>$J24*K18*VLOOKUP(K$11,$F$9:$G$19,2)</f>
        <v>6.2977833566598278</v>
      </c>
      <c r="L15" s="117" t="s">
        <v>80</v>
      </c>
      <c r="Q15" s="56" t="s">
        <v>78</v>
      </c>
    </row>
    <row r="16" spans="2:20" ht="18" customHeight="1" x14ac:dyDescent="0.3">
      <c r="B16" s="82" t="s">
        <v>40</v>
      </c>
      <c r="C16" s="83" t="s">
        <v>50</v>
      </c>
      <c r="D16" s="52">
        <v>25</v>
      </c>
      <c r="F16" s="70">
        <v>32</v>
      </c>
      <c r="G16" s="128">
        <v>0.9</v>
      </c>
      <c r="H16" s="71">
        <f t="shared" si="1"/>
        <v>0.7466666666666667</v>
      </c>
      <c r="K16" s="115">
        <f>$K$13+$K$14+$K$15</f>
        <v>22.219813138047918</v>
      </c>
    </row>
    <row r="17" spans="2:21" ht="18" customHeight="1" x14ac:dyDescent="0.3">
      <c r="B17" s="82" t="s">
        <v>45</v>
      </c>
      <c r="C17" s="83" t="s">
        <v>5</v>
      </c>
      <c r="D17" s="54">
        <v>7.52</v>
      </c>
      <c r="F17" s="70">
        <v>33</v>
      </c>
      <c r="G17" s="128">
        <v>0.9</v>
      </c>
      <c r="H17" s="71">
        <f t="shared" si="1"/>
        <v>0.72000000000000008</v>
      </c>
      <c r="I17" s="84"/>
      <c r="J17" s="84"/>
      <c r="K17" s="84">
        <f>(1*(COS(K$11*PI()/180)/2))*TAN(22.5*PI()/180)</f>
        <v>0.20348656518251682</v>
      </c>
      <c r="L17" s="118" t="s">
        <v>73</v>
      </c>
      <c r="M17" s="84"/>
      <c r="N17" s="84"/>
      <c r="O17" s="84" t="s">
        <v>76</v>
      </c>
      <c r="P17" s="84"/>
    </row>
    <row r="18" spans="2:21" ht="18" hidden="1" customHeight="1" x14ac:dyDescent="0.3">
      <c r="B18" s="82" t="s">
        <v>47</v>
      </c>
      <c r="C18" s="83" t="s">
        <v>50</v>
      </c>
      <c r="D18" s="85">
        <f>DEGREES(ATAN((TAN(D16*PI()/180))*0.7071))</f>
        <v>18.248738973153834</v>
      </c>
      <c r="F18" s="70">
        <v>34</v>
      </c>
      <c r="G18" s="128">
        <v>0.9</v>
      </c>
      <c r="H18" s="71">
        <f t="shared" si="1"/>
        <v>0.69333333333333336</v>
      </c>
      <c r="I18" s="84"/>
      <c r="J18" s="84"/>
      <c r="K18" s="84">
        <f>K20*K17</f>
        <v>0.19992963037015329</v>
      </c>
      <c r="L18" s="84" t="s">
        <v>77</v>
      </c>
      <c r="M18" s="84"/>
      <c r="N18" s="84"/>
      <c r="O18" s="84" t="s">
        <v>79</v>
      </c>
      <c r="P18" s="84"/>
    </row>
    <row r="19" spans="2:21" ht="18" hidden="1" customHeight="1" x14ac:dyDescent="0.3">
      <c r="B19" s="82" t="s">
        <v>61</v>
      </c>
      <c r="C19" s="83" t="s">
        <v>5</v>
      </c>
      <c r="D19" s="86">
        <f>(D17/2)/0.7071</f>
        <v>5.3174939895347197</v>
      </c>
      <c r="F19" s="123">
        <v>35</v>
      </c>
      <c r="G19" s="132">
        <v>0.9</v>
      </c>
      <c r="H19" s="124">
        <f t="shared" si="1"/>
        <v>0.66666666666666663</v>
      </c>
      <c r="K19" s="56">
        <f>K$17</f>
        <v>0.20348656518251682</v>
      </c>
      <c r="L19" s="56" t="s">
        <v>74</v>
      </c>
    </row>
    <row r="20" spans="2:21" ht="18" hidden="1" customHeight="1" x14ac:dyDescent="0.3">
      <c r="B20" s="82" t="s">
        <v>46</v>
      </c>
      <c r="C20" s="83" t="s">
        <v>5</v>
      </c>
      <c r="D20" s="86">
        <f>D19/COS(D18*PI()/180)</f>
        <v>5.5990947581894419</v>
      </c>
      <c r="F20" s="88" t="s">
        <v>51</v>
      </c>
      <c r="G20" s="89">
        <f>VLOOKUP($D$16,F8:G19,2)</f>
        <v>0.9</v>
      </c>
      <c r="H20" s="120"/>
      <c r="K20" s="56">
        <f>1*COS(K$11*PI()/180)</f>
        <v>0.98252005084869787</v>
      </c>
      <c r="L20" s="56" t="s">
        <v>75</v>
      </c>
    </row>
    <row r="21" spans="2:21" ht="18" hidden="1" customHeight="1" x14ac:dyDescent="0.3">
      <c r="B21" s="82" t="s">
        <v>48</v>
      </c>
      <c r="C21" s="83" t="s">
        <v>5</v>
      </c>
      <c r="D21" s="86">
        <f>0.4142*(((D17/2)/0.7071)/2)</f>
        <v>1.1012530052326406</v>
      </c>
      <c r="F21" s="140" t="s">
        <v>39</v>
      </c>
      <c r="G21" s="140"/>
      <c r="H21" s="140"/>
      <c r="K21" s="56" t="s">
        <v>67</v>
      </c>
    </row>
    <row r="22" spans="2:21" ht="18" hidden="1" customHeight="1" x14ac:dyDescent="0.3">
      <c r="B22" s="82" t="s">
        <v>60</v>
      </c>
      <c r="C22" s="83" t="s">
        <v>49</v>
      </c>
      <c r="D22" s="86">
        <f>D19*D21</f>
        <v>5.8559062362816139</v>
      </c>
      <c r="F22" s="48" t="s">
        <v>38</v>
      </c>
      <c r="G22" s="107"/>
      <c r="H22" s="107"/>
    </row>
    <row r="23" spans="2:21" ht="18" hidden="1" customHeight="1" x14ac:dyDescent="0.3">
      <c r="B23" s="82" t="s">
        <v>59</v>
      </c>
      <c r="C23" s="83" t="s">
        <v>49</v>
      </c>
      <c r="D23" s="86">
        <f>D20*D21</f>
        <v>6.1660199290384483</v>
      </c>
      <c r="F23" s="122" t="s">
        <v>83</v>
      </c>
      <c r="G23" s="90"/>
      <c r="H23" s="90"/>
      <c r="K23" s="56" t="s">
        <v>65</v>
      </c>
      <c r="L23" s="56" t="s">
        <v>66</v>
      </c>
    </row>
    <row r="24" spans="2:21" ht="18" customHeight="1" x14ac:dyDescent="0.3">
      <c r="B24" s="3" t="s">
        <v>19</v>
      </c>
      <c r="C24" s="50"/>
      <c r="D24" s="49"/>
      <c r="F24" s="92"/>
      <c r="G24" s="91"/>
      <c r="I24" s="141" t="s">
        <v>64</v>
      </c>
      <c r="J24" s="109">
        <v>45</v>
      </c>
      <c r="K24" s="114">
        <f>((($D$10*$D$9*10000)/(200*(5/384)*K16*9.81))^(1/3))/100</f>
        <v>4.1404436648350931</v>
      </c>
      <c r="L24" s="62"/>
      <c r="M24" s="62"/>
      <c r="N24" s="62"/>
      <c r="O24" s="62"/>
      <c r="P24" s="62"/>
      <c r="Q24" s="62"/>
      <c r="R24" s="62"/>
      <c r="S24" s="62"/>
      <c r="T24" s="62"/>
      <c r="U24" s="79"/>
    </row>
    <row r="25" spans="2:21" ht="18" hidden="1" customHeight="1" x14ac:dyDescent="0.3">
      <c r="B25" s="13" t="s">
        <v>41</v>
      </c>
      <c r="C25" s="83" t="s">
        <v>54</v>
      </c>
      <c r="D25" s="94">
        <f>(D22*D15*G20)+(D20*D8)+(D23*D14)</f>
        <v>502.2469339578181</v>
      </c>
      <c r="F25" s="92"/>
      <c r="G25" s="91"/>
      <c r="I25" s="142"/>
      <c r="J25" s="109">
        <v>55</v>
      </c>
      <c r="K25" s="110"/>
      <c r="L25" s="110"/>
      <c r="M25" s="110"/>
      <c r="N25" s="110"/>
      <c r="O25" s="110"/>
      <c r="P25" s="110"/>
      <c r="Q25" s="62"/>
      <c r="R25" s="62"/>
      <c r="S25" s="62"/>
      <c r="T25" s="62"/>
      <c r="U25" s="95"/>
    </row>
    <row r="26" spans="2:21" ht="18" customHeight="1" x14ac:dyDescent="0.3">
      <c r="B26" s="96" t="s">
        <v>52</v>
      </c>
      <c r="C26" s="83" t="s">
        <v>53</v>
      </c>
      <c r="D26" s="97">
        <f>(D20/200)*1000</f>
        <v>27.995473790947209</v>
      </c>
      <c r="I26" s="142"/>
      <c r="J26" s="109">
        <v>65</v>
      </c>
      <c r="K26" s="43"/>
      <c r="L26" s="43"/>
      <c r="M26" s="43"/>
      <c r="N26" s="43"/>
      <c r="O26" s="43"/>
      <c r="P26" s="43"/>
      <c r="Q26" s="62"/>
      <c r="R26" s="62"/>
      <c r="S26" s="62"/>
      <c r="T26" s="62"/>
    </row>
    <row r="27" spans="2:21" ht="30" customHeight="1" x14ac:dyDescent="0.3">
      <c r="B27" s="98"/>
      <c r="C27" s="99"/>
      <c r="D27" s="100"/>
      <c r="I27" s="142"/>
      <c r="J27" s="109">
        <v>90</v>
      </c>
      <c r="K27" s="111"/>
      <c r="L27" s="111"/>
      <c r="M27" s="111"/>
      <c r="N27" s="111"/>
      <c r="O27" s="111"/>
      <c r="P27" s="111"/>
      <c r="Q27" s="62"/>
      <c r="R27" s="62"/>
      <c r="S27" s="62"/>
      <c r="T27" s="62"/>
    </row>
    <row r="28" spans="2:21" ht="18" customHeight="1" x14ac:dyDescent="0.3">
      <c r="B28" s="101" t="s">
        <v>63</v>
      </c>
      <c r="C28" s="83" t="s">
        <v>53</v>
      </c>
      <c r="D28" s="102">
        <f>((5/384)*((D25*9.81*D20^3)/(D10*D9)))*10000</f>
        <v>27.948577517141363</v>
      </c>
      <c r="F28" s="56">
        <f>(($D$10*$D$9*1000)/(200*(5/384)*($D$25*9.81)))^(1/2)/100</f>
        <v>5.6037902856355331</v>
      </c>
      <c r="G28" s="103"/>
      <c r="H28" s="103"/>
      <c r="I28" s="142"/>
      <c r="J28" s="109">
        <v>140</v>
      </c>
      <c r="K28" s="111"/>
      <c r="L28" s="111"/>
      <c r="M28" s="111"/>
      <c r="N28" s="111"/>
      <c r="O28" s="111"/>
      <c r="P28" s="111"/>
      <c r="Q28" s="62"/>
      <c r="R28" s="62"/>
      <c r="S28" s="62"/>
      <c r="T28" s="62"/>
      <c r="U28" s="79"/>
    </row>
    <row r="29" spans="2:21" ht="18" customHeight="1" x14ac:dyDescent="0.3"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</row>
    <row r="30" spans="2:21" ht="18" customHeight="1" x14ac:dyDescent="0.3"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</row>
    <row r="31" spans="2:21" ht="18" customHeight="1" x14ac:dyDescent="0.3"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</row>
    <row r="32" spans="2:21" ht="18" customHeight="1" x14ac:dyDescent="0.3"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</row>
    <row r="33" spans="4:32" ht="18" customHeight="1" x14ac:dyDescent="0.3"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</row>
    <row r="34" spans="4:32" ht="18" customHeight="1" x14ac:dyDescent="0.3">
      <c r="D34" s="2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AF34" s="56" t="s">
        <v>87</v>
      </c>
    </row>
    <row r="35" spans="4:32" ht="18" customHeight="1" x14ac:dyDescent="0.3"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</row>
    <row r="36" spans="4:32" ht="18" customHeight="1" x14ac:dyDescent="0.3"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</row>
    <row r="37" spans="4:32" ht="18" customHeight="1" x14ac:dyDescent="0.3"/>
    <row r="38" spans="4:32" ht="18" customHeight="1" x14ac:dyDescent="0.3"/>
    <row r="39" spans="4:32" ht="18" customHeight="1" x14ac:dyDescent="0.3"/>
    <row r="40" spans="4:32" ht="18" customHeight="1" x14ac:dyDescent="0.3"/>
    <row r="41" spans="4:32" ht="18" customHeight="1" x14ac:dyDescent="0.3"/>
    <row r="42" spans="4:32" ht="18" customHeight="1" x14ac:dyDescent="0.3"/>
    <row r="43" spans="4:32" ht="18" customHeight="1" x14ac:dyDescent="0.3"/>
    <row r="44" spans="4:32" ht="18" customHeight="1" x14ac:dyDescent="0.3"/>
    <row r="45" spans="4:32" ht="18" customHeight="1" x14ac:dyDescent="0.3"/>
    <row r="46" spans="4:32" ht="18" customHeight="1" x14ac:dyDescent="0.3"/>
    <row r="47" spans="4:32" ht="18" customHeight="1" x14ac:dyDescent="0.3"/>
  </sheetData>
  <sheetProtection algorithmName="SHA-512" hashValue="hgA2+bfzen4Exs4uYSV7pkWK30zZ4j5WQOGp+mkTTASZUzA0UR9h3LwU+JGt+nR+Ba7vTkpQpI42BTQomQH2QA==" saltValue="IzXK6XvqIZ8UtzRI+0AZHA==" spinCount="100000" sheet="1" objects="1" scenarios="1"/>
  <mergeCells count="3">
    <mergeCell ref="B2:D2"/>
    <mergeCell ref="F21:H21"/>
    <mergeCell ref="I24:I28"/>
  </mergeCells>
  <conditionalFormatting sqref="D28">
    <cfRule type="cellIs" dxfId="2" priority="2" operator="greaterThan">
      <formula>"$d$25"</formula>
    </cfRule>
  </conditionalFormatting>
  <pageMargins left="0.39370078740157483" right="0" top="0.39370078740157483" bottom="0" header="0" footer="0"/>
  <pageSetup paperSize="9" scale="59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F7C2D-3287-4AD5-B119-B5775B968CE2}">
  <sheetPr>
    <pageSetUpPr fitToPage="1"/>
  </sheetPr>
  <dimension ref="B1:R46"/>
  <sheetViews>
    <sheetView workbookViewId="0">
      <selection activeCell="M31" sqref="M31"/>
    </sheetView>
  </sheetViews>
  <sheetFormatPr baseColWidth="10" defaultRowHeight="15.6" x14ac:dyDescent="0.3"/>
  <cols>
    <col min="1" max="1" width="1.77734375" style="56" customWidth="1"/>
    <col min="2" max="2" width="39.109375" style="56" bestFit="1" customWidth="1"/>
    <col min="3" max="3" width="8.33203125" style="56" bestFit="1" customWidth="1"/>
    <col min="4" max="4" width="17.6640625" style="56" bestFit="1" customWidth="1"/>
    <col min="5" max="5" width="1.77734375" style="56" customWidth="1"/>
    <col min="6" max="7" width="10.77734375" style="56" hidden="1" customWidth="1"/>
    <col min="8" max="8" width="12.77734375" style="56" hidden="1" customWidth="1"/>
    <col min="9" max="18" width="6.77734375" style="56" customWidth="1"/>
    <col min="19" max="27" width="5.77734375" style="56" customWidth="1"/>
    <col min="28" max="28" width="10.77734375" style="56" customWidth="1"/>
    <col min="29" max="16384" width="11.5546875" style="56"/>
  </cols>
  <sheetData>
    <row r="1" spans="2:14" x14ac:dyDescent="0.3">
      <c r="B1" s="119" t="s">
        <v>85</v>
      </c>
    </row>
    <row r="2" spans="2:14" ht="18" customHeight="1" x14ac:dyDescent="0.3">
      <c r="B2" s="137" t="s">
        <v>42</v>
      </c>
      <c r="C2" s="139"/>
      <c r="D2" s="139"/>
      <c r="E2" s="57"/>
      <c r="F2" s="57"/>
      <c r="G2" s="57"/>
      <c r="H2" s="57"/>
    </row>
    <row r="3" spans="2:14" ht="18" customHeight="1" x14ac:dyDescent="0.3">
      <c r="B3" s="58" t="s">
        <v>58</v>
      </c>
      <c r="C3" s="59"/>
      <c r="D3" s="59"/>
      <c r="E3" s="57"/>
      <c r="F3" s="57"/>
      <c r="G3" s="57"/>
      <c r="H3" s="57"/>
    </row>
    <row r="4" spans="2:14" ht="4.95" customHeight="1" x14ac:dyDescent="0.3"/>
    <row r="5" spans="2:14" ht="18" hidden="1" customHeight="1" x14ac:dyDescent="0.3">
      <c r="B5" s="3" t="s">
        <v>6</v>
      </c>
    </row>
    <row r="6" spans="2:14" ht="18" hidden="1" customHeight="1" x14ac:dyDescent="0.3">
      <c r="B6" s="60" t="s">
        <v>2</v>
      </c>
      <c r="C6" s="61" t="s">
        <v>3</v>
      </c>
      <c r="F6" s="14" t="s">
        <v>9</v>
      </c>
      <c r="G6" s="127" t="s">
        <v>82</v>
      </c>
      <c r="H6" s="14" t="s">
        <v>10</v>
      </c>
    </row>
    <row r="7" spans="2:14" ht="18" hidden="1" customHeight="1" x14ac:dyDescent="0.3">
      <c r="B7" s="62" t="s">
        <v>43</v>
      </c>
      <c r="C7" s="63" t="s">
        <v>55</v>
      </c>
      <c r="D7" s="64">
        <v>5.7</v>
      </c>
      <c r="F7" s="66">
        <v>5</v>
      </c>
      <c r="G7" s="130">
        <v>0.7</v>
      </c>
      <c r="H7" s="125">
        <v>0.8</v>
      </c>
    </row>
    <row r="8" spans="2:14" ht="18" hidden="1" customHeight="1" x14ac:dyDescent="0.3">
      <c r="B8" s="62" t="s">
        <v>44</v>
      </c>
      <c r="C8" s="63" t="s">
        <v>12</v>
      </c>
      <c r="D8" s="65">
        <v>327.7</v>
      </c>
      <c r="F8" s="70">
        <v>10</v>
      </c>
      <c r="G8" s="128">
        <v>0.7</v>
      </c>
      <c r="H8" s="71">
        <v>0.8</v>
      </c>
    </row>
    <row r="9" spans="2:14" ht="18" hidden="1" customHeight="1" x14ac:dyDescent="0.3">
      <c r="B9" s="67" t="s">
        <v>7</v>
      </c>
      <c r="C9" s="68" t="s">
        <v>56</v>
      </c>
      <c r="D9" s="69">
        <v>7000</v>
      </c>
      <c r="F9" s="70">
        <v>15</v>
      </c>
      <c r="G9" s="128">
        <v>0.7</v>
      </c>
      <c r="H9" s="71">
        <v>0.8</v>
      </c>
    </row>
    <row r="10" spans="2:14" ht="18" hidden="1" customHeight="1" x14ac:dyDescent="0.3">
      <c r="B10" s="72"/>
      <c r="C10" s="73"/>
      <c r="D10" s="74"/>
      <c r="F10" s="70">
        <v>16</v>
      </c>
      <c r="G10" s="128">
        <v>0.8</v>
      </c>
      <c r="H10" s="71">
        <v>0.8</v>
      </c>
    </row>
    <row r="11" spans="2:14" ht="18" customHeight="1" x14ac:dyDescent="0.3">
      <c r="B11" s="3" t="s">
        <v>0</v>
      </c>
      <c r="F11" s="70">
        <v>20</v>
      </c>
      <c r="G11" s="128">
        <v>0.8</v>
      </c>
      <c r="H11" s="71">
        <v>0.8</v>
      </c>
      <c r="I11" s="75"/>
      <c r="J11" s="75"/>
      <c r="K11" s="75"/>
      <c r="L11" s="75"/>
      <c r="M11" s="75"/>
      <c r="N11" s="75"/>
    </row>
    <row r="12" spans="2:14" ht="18" customHeight="1" x14ac:dyDescent="0.3">
      <c r="B12" s="76" t="s">
        <v>2</v>
      </c>
      <c r="C12" s="77" t="s">
        <v>3</v>
      </c>
      <c r="D12" s="78" t="s">
        <v>31</v>
      </c>
      <c r="F12" s="70">
        <v>25</v>
      </c>
      <c r="G12" s="128">
        <v>0.9</v>
      </c>
      <c r="H12" s="71">
        <v>0.8</v>
      </c>
      <c r="I12" s="79"/>
      <c r="J12" s="79"/>
      <c r="K12" s="79"/>
      <c r="L12" s="79"/>
      <c r="M12" s="79"/>
      <c r="N12" s="79"/>
    </row>
    <row r="13" spans="2:14" ht="18" customHeight="1" x14ac:dyDescent="0.3">
      <c r="B13" s="62" t="s">
        <v>24</v>
      </c>
      <c r="C13" s="80" t="s">
        <v>57</v>
      </c>
      <c r="D13" s="52">
        <v>35</v>
      </c>
      <c r="F13" s="70">
        <v>30</v>
      </c>
      <c r="G13" s="128">
        <v>0.9</v>
      </c>
      <c r="H13" s="71">
        <f t="shared" ref="H13:H18" si="0">0.8*(60-$F13)/30</f>
        <v>0.8</v>
      </c>
      <c r="I13" s="81"/>
      <c r="J13" s="81"/>
      <c r="K13" s="81"/>
      <c r="L13" s="81"/>
      <c r="M13" s="81"/>
      <c r="N13" s="81"/>
    </row>
    <row r="14" spans="2:14" ht="18" customHeight="1" x14ac:dyDescent="0.3">
      <c r="B14" s="62" t="s">
        <v>25</v>
      </c>
      <c r="C14" s="80" t="s">
        <v>57</v>
      </c>
      <c r="D14" s="53">
        <v>45</v>
      </c>
      <c r="F14" s="70">
        <v>31</v>
      </c>
      <c r="G14" s="128">
        <v>0.9</v>
      </c>
      <c r="H14" s="71">
        <f t="shared" si="0"/>
        <v>0.77333333333333343</v>
      </c>
      <c r="I14" s="81"/>
      <c r="J14" s="81"/>
      <c r="K14" s="81"/>
      <c r="L14" s="81"/>
      <c r="M14" s="81"/>
      <c r="N14" s="81"/>
    </row>
    <row r="15" spans="2:14" ht="18" customHeight="1" x14ac:dyDescent="0.3">
      <c r="B15" s="82" t="s">
        <v>40</v>
      </c>
      <c r="C15" s="83" t="s">
        <v>50</v>
      </c>
      <c r="D15" s="52">
        <v>25</v>
      </c>
      <c r="F15" s="70">
        <v>32</v>
      </c>
      <c r="G15" s="128">
        <v>0.9</v>
      </c>
      <c r="H15" s="71">
        <f t="shared" si="0"/>
        <v>0.7466666666666667</v>
      </c>
      <c r="I15" s="84"/>
      <c r="J15" s="84"/>
      <c r="K15" s="126"/>
      <c r="L15" s="84"/>
      <c r="M15" s="84"/>
      <c r="N15" s="84"/>
    </row>
    <row r="16" spans="2:14" ht="18" customHeight="1" x14ac:dyDescent="0.3">
      <c r="B16" s="82" t="s">
        <v>45</v>
      </c>
      <c r="C16" s="83"/>
      <c r="D16" s="54">
        <v>8</v>
      </c>
      <c r="F16" s="70">
        <v>33</v>
      </c>
      <c r="G16" s="128">
        <v>0.9</v>
      </c>
      <c r="H16" s="71">
        <f t="shared" si="0"/>
        <v>0.72000000000000008</v>
      </c>
      <c r="I16" s="84"/>
      <c r="J16" s="84"/>
      <c r="K16" s="84"/>
      <c r="L16" s="84"/>
      <c r="M16" s="84"/>
      <c r="N16" s="84"/>
    </row>
    <row r="17" spans="2:18" ht="18" hidden="1" customHeight="1" x14ac:dyDescent="0.3">
      <c r="B17" s="82" t="s">
        <v>47</v>
      </c>
      <c r="C17" s="83" t="s">
        <v>50</v>
      </c>
      <c r="D17" s="85">
        <f>DEGREES(ATAN((TAN(D15*PI()/180))*0.9239))</f>
        <v>23.30742358079058</v>
      </c>
      <c r="F17" s="70">
        <v>34</v>
      </c>
      <c r="G17" s="128">
        <v>0.9</v>
      </c>
      <c r="H17" s="71">
        <f t="shared" si="0"/>
        <v>0.69333333333333336</v>
      </c>
      <c r="I17" s="84"/>
      <c r="J17" s="84"/>
      <c r="K17" s="84"/>
      <c r="L17" s="84"/>
      <c r="M17" s="84"/>
      <c r="N17" s="84"/>
    </row>
    <row r="18" spans="2:18" ht="18" hidden="1" customHeight="1" x14ac:dyDescent="0.3">
      <c r="B18" s="82" t="s">
        <v>61</v>
      </c>
      <c r="C18" s="83" t="s">
        <v>5</v>
      </c>
      <c r="D18" s="86">
        <f>(D16/2)/0.9239</f>
        <v>4.3294728866760472</v>
      </c>
      <c r="F18" s="87">
        <v>35</v>
      </c>
      <c r="G18" s="129">
        <v>0.9</v>
      </c>
      <c r="H18" s="124">
        <f t="shared" si="0"/>
        <v>0.66666666666666663</v>
      </c>
      <c r="I18" s="84"/>
      <c r="J18" s="84"/>
      <c r="K18" s="84"/>
      <c r="L18" s="84"/>
      <c r="M18" s="84"/>
      <c r="N18" s="84"/>
    </row>
    <row r="19" spans="2:18" ht="18" hidden="1" customHeight="1" x14ac:dyDescent="0.3">
      <c r="B19" s="82" t="s">
        <v>46</v>
      </c>
      <c r="C19" s="83" t="s">
        <v>5</v>
      </c>
      <c r="D19" s="86">
        <f>D18/COS(D17*PI()/180)</f>
        <v>4.7141723334353198</v>
      </c>
      <c r="F19" s="88" t="s">
        <v>51</v>
      </c>
      <c r="G19" s="89">
        <f>VLOOKUP($D$15,F7:G18,2)</f>
        <v>0.9</v>
      </c>
      <c r="I19" s="84"/>
      <c r="J19" s="84"/>
      <c r="K19" s="84"/>
      <c r="L19" s="84"/>
      <c r="M19" s="84"/>
      <c r="N19" s="84"/>
    </row>
    <row r="20" spans="2:18" ht="18" hidden="1" customHeight="1" x14ac:dyDescent="0.3">
      <c r="B20" s="82" t="s">
        <v>62</v>
      </c>
      <c r="C20" s="83" t="s">
        <v>5</v>
      </c>
      <c r="D20" s="86">
        <f>0.5556*(((D16/2.41421)/2)/0.8315)</f>
        <v>1.1070951044684385</v>
      </c>
      <c r="F20" s="140" t="s">
        <v>39</v>
      </c>
      <c r="G20" s="140"/>
      <c r="H20" s="140"/>
      <c r="I20" s="84"/>
      <c r="J20" s="84"/>
      <c r="K20" s="84"/>
      <c r="L20" s="84"/>
      <c r="M20" s="84"/>
      <c r="N20" s="84"/>
    </row>
    <row r="21" spans="2:18" ht="18" hidden="1" customHeight="1" x14ac:dyDescent="0.3">
      <c r="B21" s="82" t="s">
        <v>60</v>
      </c>
      <c r="C21" s="83" t="s">
        <v>49</v>
      </c>
      <c r="D21" s="86">
        <f>D18*D20</f>
        <v>4.7931382377678906</v>
      </c>
      <c r="F21" s="48" t="s">
        <v>38</v>
      </c>
      <c r="G21" s="51"/>
      <c r="H21" s="51"/>
      <c r="I21" s="84"/>
      <c r="J21" s="84"/>
      <c r="K21" s="84"/>
      <c r="L21" s="84"/>
      <c r="M21" s="84"/>
      <c r="N21" s="84"/>
    </row>
    <row r="22" spans="2:18" ht="18" hidden="1" customHeight="1" x14ac:dyDescent="0.3">
      <c r="B22" s="82" t="s">
        <v>59</v>
      </c>
      <c r="C22" s="83" t="s">
        <v>49</v>
      </c>
      <c r="D22" s="86">
        <f>D19*D20</f>
        <v>5.2190371119667978</v>
      </c>
      <c r="F22" s="131" t="s">
        <v>83</v>
      </c>
      <c r="G22" s="91"/>
      <c r="I22" s="84"/>
      <c r="J22" s="84"/>
      <c r="K22" s="84"/>
      <c r="L22" s="84"/>
      <c r="M22" s="84"/>
      <c r="N22" s="84"/>
    </row>
    <row r="23" spans="2:18" ht="18" customHeight="1" x14ac:dyDescent="0.3">
      <c r="B23" s="3" t="s">
        <v>19</v>
      </c>
      <c r="C23" s="50"/>
      <c r="D23" s="49"/>
      <c r="F23" s="92"/>
      <c r="G23" s="91"/>
      <c r="I23" s="93"/>
      <c r="J23" s="93"/>
      <c r="K23" s="93"/>
      <c r="L23" s="93"/>
      <c r="M23" s="93"/>
      <c r="N23" s="93"/>
      <c r="O23" s="79"/>
      <c r="P23" s="79"/>
      <c r="Q23" s="79"/>
      <c r="R23" s="79"/>
    </row>
    <row r="24" spans="2:18" ht="18" hidden="1" customHeight="1" x14ac:dyDescent="0.3">
      <c r="B24" s="13" t="s">
        <v>41</v>
      </c>
      <c r="C24" s="83" t="s">
        <v>54</v>
      </c>
      <c r="D24" s="94">
        <f>(D21*D14*G19)+(D19*D7)+(D22*D13)</f>
        <v>403.65917984901881</v>
      </c>
      <c r="F24" s="108">
        <f>(($D$9*$D$8)/(0.0102*200*5*($D$24*9.81)))^(1/3)</f>
        <v>3.8438239601930246</v>
      </c>
      <c r="G24" s="91"/>
      <c r="I24" s="93"/>
      <c r="J24" s="93"/>
      <c r="K24" s="93"/>
      <c r="L24" s="93"/>
      <c r="M24" s="93"/>
      <c r="N24" s="93"/>
      <c r="O24" s="95"/>
      <c r="P24" s="95"/>
      <c r="Q24" s="95"/>
      <c r="R24" s="95"/>
    </row>
    <row r="25" spans="2:18" ht="18" customHeight="1" x14ac:dyDescent="0.3">
      <c r="B25" s="96" t="s">
        <v>52</v>
      </c>
      <c r="C25" s="83" t="s">
        <v>53</v>
      </c>
      <c r="D25" s="97">
        <f>(D19/200)*1000</f>
        <v>23.570861667176601</v>
      </c>
    </row>
    <row r="26" spans="2:18" ht="30" customHeight="1" x14ac:dyDescent="0.3">
      <c r="B26" s="98"/>
      <c r="C26" s="99"/>
      <c r="D26" s="100"/>
    </row>
    <row r="27" spans="2:18" ht="18" customHeight="1" x14ac:dyDescent="0.3">
      <c r="B27" s="101" t="s">
        <v>63</v>
      </c>
      <c r="C27" s="83" t="s">
        <v>53</v>
      </c>
      <c r="D27" s="102">
        <f>((5/384)*((D24*9.81*D19^3)/(D9*D8)))*10000</f>
        <v>23.548568057386589</v>
      </c>
      <c r="G27" s="103"/>
      <c r="H27" s="103"/>
      <c r="I27" s="79"/>
      <c r="J27" s="79"/>
      <c r="K27" s="79"/>
      <c r="L27" s="79"/>
      <c r="M27" s="79"/>
      <c r="N27" s="79"/>
      <c r="O27" s="79"/>
      <c r="P27" s="79"/>
      <c r="Q27" s="79"/>
      <c r="R27" s="79"/>
    </row>
    <row r="28" spans="2:18" ht="18" customHeight="1" x14ac:dyDescent="0.3">
      <c r="I28" s="104"/>
      <c r="J28" s="104"/>
      <c r="K28" s="104"/>
      <c r="L28" s="104"/>
      <c r="M28" s="104"/>
      <c r="N28" s="104"/>
      <c r="O28" s="104"/>
      <c r="P28" s="104"/>
      <c r="Q28" s="104"/>
      <c r="R28" s="104"/>
    </row>
    <row r="29" spans="2:18" ht="18" customHeight="1" x14ac:dyDescent="0.3">
      <c r="I29" s="104"/>
      <c r="J29" s="104"/>
      <c r="K29" s="104"/>
      <c r="L29" s="104"/>
      <c r="M29" s="104"/>
      <c r="N29" s="104"/>
      <c r="O29" s="104"/>
      <c r="P29" s="104"/>
      <c r="Q29" s="104"/>
      <c r="R29" s="104"/>
    </row>
    <row r="30" spans="2:18" ht="18" customHeight="1" x14ac:dyDescent="0.3">
      <c r="I30" s="104"/>
      <c r="J30" s="104"/>
      <c r="K30" s="104"/>
      <c r="L30" s="104"/>
      <c r="M30" s="104"/>
      <c r="N30" s="104"/>
      <c r="O30" s="104"/>
      <c r="P30" s="104"/>
      <c r="Q30" s="104"/>
      <c r="R30" s="104"/>
    </row>
    <row r="31" spans="2:18" ht="18" customHeight="1" x14ac:dyDescent="0.3"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2:18" ht="18" customHeight="1" x14ac:dyDescent="0.3">
      <c r="I32" s="104"/>
      <c r="J32" s="104"/>
      <c r="K32" s="104"/>
      <c r="L32" s="104"/>
      <c r="M32" s="104"/>
      <c r="N32" s="104"/>
      <c r="O32" s="104"/>
      <c r="P32" s="104"/>
      <c r="Q32" s="104"/>
      <c r="R32" s="104"/>
    </row>
    <row r="33" spans="4:18" ht="18" customHeight="1" x14ac:dyDescent="0.3">
      <c r="D33" s="2"/>
      <c r="F33" s="105"/>
      <c r="G33" s="91"/>
      <c r="I33" s="104"/>
      <c r="J33" s="104"/>
      <c r="K33" s="104"/>
      <c r="L33" s="104"/>
      <c r="M33" s="104"/>
      <c r="N33" s="104"/>
      <c r="O33" s="104"/>
      <c r="P33" s="104"/>
      <c r="Q33" s="104"/>
      <c r="R33" s="104"/>
    </row>
    <row r="34" spans="4:18" ht="18" customHeight="1" x14ac:dyDescent="0.3">
      <c r="I34" s="104"/>
      <c r="J34" s="104"/>
      <c r="K34" s="104"/>
      <c r="L34" s="104"/>
      <c r="M34" s="104"/>
      <c r="N34" s="104"/>
      <c r="O34" s="104"/>
      <c r="P34" s="104"/>
      <c r="Q34" s="104"/>
      <c r="R34" s="104"/>
    </row>
    <row r="35" spans="4:18" ht="18" customHeight="1" x14ac:dyDescent="0.3">
      <c r="I35" s="104"/>
      <c r="J35" s="104"/>
      <c r="K35" s="104"/>
      <c r="L35" s="104"/>
      <c r="M35" s="104"/>
      <c r="N35" s="104"/>
      <c r="O35" s="104"/>
      <c r="P35" s="104"/>
      <c r="Q35" s="104"/>
      <c r="R35" s="104"/>
    </row>
    <row r="36" spans="4:18" ht="18" customHeight="1" x14ac:dyDescent="0.3"/>
    <row r="37" spans="4:18" ht="18" customHeight="1" x14ac:dyDescent="0.3"/>
    <row r="38" spans="4:18" ht="18" customHeight="1" x14ac:dyDescent="0.3"/>
    <row r="39" spans="4:18" ht="18" customHeight="1" x14ac:dyDescent="0.3"/>
    <row r="40" spans="4:18" ht="18" customHeight="1" x14ac:dyDescent="0.3"/>
    <row r="41" spans="4:18" ht="18" customHeight="1" x14ac:dyDescent="0.3"/>
    <row r="42" spans="4:18" ht="18" customHeight="1" x14ac:dyDescent="0.3"/>
    <row r="43" spans="4:18" ht="18" customHeight="1" x14ac:dyDescent="0.3"/>
    <row r="44" spans="4:18" ht="18" customHeight="1" x14ac:dyDescent="0.3"/>
    <row r="45" spans="4:18" ht="18" customHeight="1" x14ac:dyDescent="0.3"/>
    <row r="46" spans="4:18" ht="18" customHeight="1" x14ac:dyDescent="0.3"/>
  </sheetData>
  <sheetProtection algorithmName="SHA-512" hashValue="j3UNhMZ6ILseMilEOtUHDddyjfaxGdFf/fCxujjFoxLXraN85cl1AxffBg6C9OuKQOIEwU7hX7o2jovZ3I4i3g==" saltValue="UQIhqZniWcxo/5uq0MaQMw==" spinCount="100000" sheet="1" objects="1" scenarios="1"/>
  <mergeCells count="2">
    <mergeCell ref="B2:D2"/>
    <mergeCell ref="F20:H20"/>
  </mergeCells>
  <conditionalFormatting sqref="D27">
    <cfRule type="cellIs" dxfId="1" priority="1" operator="greaterThan">
      <formula>"D25"</formula>
    </cfRule>
    <cfRule type="cellIs" dxfId="0" priority="2" operator="greaterThan">
      <formula>"D25"</formula>
    </cfRule>
  </conditionalFormatting>
  <pageMargins left="0.39370078740157483" right="0" top="0.39370078740157483" bottom="0" header="0" footer="0"/>
  <pageSetup paperSize="9" scale="59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406E3-EBC4-4A0D-A7A9-EE70C477AC65}">
  <sheetPr>
    <pageSetUpPr fitToPage="1"/>
  </sheetPr>
  <dimension ref="B1:R46"/>
  <sheetViews>
    <sheetView workbookViewId="0">
      <selection activeCell="L31" sqref="L31"/>
    </sheetView>
  </sheetViews>
  <sheetFormatPr baseColWidth="10" defaultRowHeight="15.6" x14ac:dyDescent="0.3"/>
  <cols>
    <col min="1" max="1" width="1.77734375" style="56" customWidth="1"/>
    <col min="2" max="2" width="39.109375" style="56" bestFit="1" customWidth="1"/>
    <col min="3" max="3" width="8.33203125" style="56" bestFit="1" customWidth="1"/>
    <col min="4" max="4" width="17.6640625" style="56" bestFit="1" customWidth="1"/>
    <col min="5" max="5" width="1.77734375" style="56" customWidth="1"/>
    <col min="6" max="8" width="10.77734375" style="56" hidden="1" customWidth="1"/>
    <col min="9" max="18" width="6.77734375" style="56" customWidth="1"/>
    <col min="19" max="27" width="5.77734375" style="56" customWidth="1"/>
    <col min="28" max="28" width="10.77734375" style="56" customWidth="1"/>
    <col min="29" max="16384" width="11.5546875" style="56"/>
  </cols>
  <sheetData>
    <row r="1" spans="2:14" x14ac:dyDescent="0.3">
      <c r="B1" s="119" t="s">
        <v>85</v>
      </c>
    </row>
    <row r="2" spans="2:14" ht="18" customHeight="1" x14ac:dyDescent="0.3">
      <c r="B2" s="137" t="s">
        <v>42</v>
      </c>
      <c r="C2" s="139"/>
      <c r="D2" s="139"/>
      <c r="E2" s="57"/>
      <c r="F2" s="57"/>
      <c r="G2" s="57"/>
      <c r="H2" s="57"/>
    </row>
    <row r="3" spans="2:14" ht="18" customHeight="1" x14ac:dyDescent="0.3">
      <c r="B3" s="58" t="s">
        <v>58</v>
      </c>
      <c r="C3" s="59"/>
      <c r="D3" s="59"/>
      <c r="E3" s="57"/>
      <c r="F3" s="57"/>
      <c r="G3" s="57"/>
      <c r="H3" s="57"/>
    </row>
    <row r="4" spans="2:14" ht="4.95" customHeight="1" x14ac:dyDescent="0.3"/>
    <row r="5" spans="2:14" ht="18" hidden="1" customHeight="1" x14ac:dyDescent="0.3">
      <c r="B5" s="3" t="s">
        <v>6</v>
      </c>
    </row>
    <row r="6" spans="2:14" ht="18" hidden="1" customHeight="1" x14ac:dyDescent="0.3">
      <c r="B6" s="60" t="s">
        <v>2</v>
      </c>
      <c r="C6" s="61" t="s">
        <v>3</v>
      </c>
      <c r="F6" s="14" t="s">
        <v>9</v>
      </c>
      <c r="G6" s="121" t="s">
        <v>82</v>
      </c>
      <c r="H6" s="14" t="s">
        <v>10</v>
      </c>
    </row>
    <row r="7" spans="2:14" ht="18" hidden="1" customHeight="1" x14ac:dyDescent="0.3">
      <c r="B7" s="62" t="s">
        <v>43</v>
      </c>
      <c r="C7" s="63" t="s">
        <v>55</v>
      </c>
      <c r="D7" s="64">
        <v>5.7</v>
      </c>
      <c r="F7" s="66">
        <v>5</v>
      </c>
      <c r="G7" s="130">
        <v>0.8</v>
      </c>
      <c r="H7" s="125">
        <v>0.8</v>
      </c>
    </row>
    <row r="8" spans="2:14" ht="18" hidden="1" customHeight="1" x14ac:dyDescent="0.3">
      <c r="B8" s="62" t="s">
        <v>44</v>
      </c>
      <c r="C8" s="63" t="s">
        <v>12</v>
      </c>
      <c r="D8" s="65">
        <v>327.7</v>
      </c>
      <c r="F8" s="70">
        <v>10</v>
      </c>
      <c r="G8" s="128">
        <v>0.8</v>
      </c>
      <c r="H8" s="71">
        <v>0.8</v>
      </c>
    </row>
    <row r="9" spans="2:14" ht="18" hidden="1" customHeight="1" x14ac:dyDescent="0.3">
      <c r="B9" s="67" t="s">
        <v>7</v>
      </c>
      <c r="C9" s="68" t="s">
        <v>56</v>
      </c>
      <c r="D9" s="69">
        <v>7000</v>
      </c>
      <c r="F9" s="70">
        <v>15</v>
      </c>
      <c r="G9" s="128">
        <v>0.9</v>
      </c>
      <c r="H9" s="71">
        <v>0.8</v>
      </c>
    </row>
    <row r="10" spans="2:14" ht="18" hidden="1" customHeight="1" x14ac:dyDescent="0.3">
      <c r="B10" s="72"/>
      <c r="C10" s="73"/>
      <c r="D10" s="74"/>
      <c r="F10" s="70">
        <v>16</v>
      </c>
      <c r="G10" s="128">
        <v>0.9</v>
      </c>
      <c r="H10" s="71">
        <v>0.8</v>
      </c>
    </row>
    <row r="11" spans="2:14" ht="18" customHeight="1" x14ac:dyDescent="0.3">
      <c r="B11" s="3" t="s">
        <v>0</v>
      </c>
      <c r="F11" s="70">
        <v>20</v>
      </c>
      <c r="G11" s="128">
        <v>1</v>
      </c>
      <c r="H11" s="71">
        <v>0.8</v>
      </c>
      <c r="I11" s="75"/>
      <c r="J11" s="75"/>
      <c r="K11" s="75"/>
      <c r="L11" s="75"/>
      <c r="M11" s="75"/>
      <c r="N11" s="75"/>
    </row>
    <row r="12" spans="2:14" ht="18" customHeight="1" x14ac:dyDescent="0.3">
      <c r="B12" s="76" t="s">
        <v>2</v>
      </c>
      <c r="C12" s="77" t="s">
        <v>3</v>
      </c>
      <c r="D12" s="78" t="s">
        <v>31</v>
      </c>
      <c r="F12" s="70">
        <v>25</v>
      </c>
      <c r="G12" s="128">
        <v>1.1000000000000001</v>
      </c>
      <c r="H12" s="71">
        <v>0.8</v>
      </c>
      <c r="I12" s="79"/>
      <c r="J12" s="79"/>
      <c r="K12" s="79"/>
      <c r="L12" s="79"/>
      <c r="M12" s="79"/>
      <c r="N12" s="79"/>
    </row>
    <row r="13" spans="2:14" ht="18" customHeight="1" x14ac:dyDescent="0.3">
      <c r="B13" s="62" t="s">
        <v>24</v>
      </c>
      <c r="C13" s="80" t="s">
        <v>57</v>
      </c>
      <c r="D13" s="52">
        <v>35</v>
      </c>
      <c r="F13" s="70">
        <v>30</v>
      </c>
      <c r="G13" s="128">
        <v>1.1000000000000001</v>
      </c>
      <c r="H13" s="71">
        <f t="shared" ref="H13:H18" si="0">0.8*(60-$F13)/30</f>
        <v>0.8</v>
      </c>
      <c r="I13" s="81"/>
      <c r="J13" s="81"/>
      <c r="K13" s="81"/>
      <c r="L13" s="81"/>
      <c r="M13" s="81"/>
      <c r="N13" s="81"/>
    </row>
    <row r="14" spans="2:14" ht="18" customHeight="1" x14ac:dyDescent="0.3">
      <c r="B14" s="62" t="s">
        <v>25</v>
      </c>
      <c r="C14" s="80" t="s">
        <v>57</v>
      </c>
      <c r="D14" s="53">
        <v>45</v>
      </c>
      <c r="F14" s="70">
        <v>31</v>
      </c>
      <c r="G14" s="128">
        <v>1.1000000000000001</v>
      </c>
      <c r="H14" s="71">
        <f t="shared" si="0"/>
        <v>0.77333333333333343</v>
      </c>
      <c r="I14" s="81"/>
      <c r="J14" s="81"/>
      <c r="K14" s="81"/>
      <c r="L14" s="81"/>
      <c r="M14" s="81"/>
      <c r="N14" s="81"/>
    </row>
    <row r="15" spans="2:14" ht="18" customHeight="1" x14ac:dyDescent="0.3">
      <c r="B15" s="82" t="s">
        <v>40</v>
      </c>
      <c r="C15" s="83" t="s">
        <v>50</v>
      </c>
      <c r="D15" s="52">
        <v>25</v>
      </c>
      <c r="F15" s="70">
        <v>32</v>
      </c>
      <c r="G15" s="128">
        <v>1.1000000000000001</v>
      </c>
      <c r="H15" s="71">
        <f t="shared" si="0"/>
        <v>0.7466666666666667</v>
      </c>
      <c r="I15" s="84"/>
      <c r="J15" s="84"/>
      <c r="K15" s="84"/>
      <c r="L15" s="84"/>
      <c r="M15" s="84"/>
      <c r="N15" s="84"/>
    </row>
    <row r="16" spans="2:14" ht="18" customHeight="1" x14ac:dyDescent="0.3">
      <c r="B16" s="82" t="s">
        <v>45</v>
      </c>
      <c r="C16" s="83" t="s">
        <v>5</v>
      </c>
      <c r="D16" s="54">
        <v>8.6</v>
      </c>
      <c r="F16" s="70">
        <v>33</v>
      </c>
      <c r="G16" s="128">
        <v>1.1000000000000001</v>
      </c>
      <c r="H16" s="71">
        <f t="shared" si="0"/>
        <v>0.72000000000000008</v>
      </c>
      <c r="I16" s="84"/>
      <c r="J16" s="84"/>
      <c r="K16" s="84"/>
      <c r="L16" s="84"/>
      <c r="M16" s="84"/>
      <c r="N16" s="84"/>
    </row>
    <row r="17" spans="2:18" ht="18" hidden="1" customHeight="1" x14ac:dyDescent="0.3">
      <c r="B17" s="82" t="s">
        <v>47</v>
      </c>
      <c r="C17" s="83" t="s">
        <v>50</v>
      </c>
      <c r="D17" s="85">
        <f>DEGREES(ATAN((TAN(D15*PI()/180))*0.9659))</f>
        <v>24.247114157335044</v>
      </c>
      <c r="F17" s="70">
        <v>34</v>
      </c>
      <c r="G17" s="128">
        <v>1.1000000000000001</v>
      </c>
      <c r="H17" s="71">
        <f t="shared" si="0"/>
        <v>0.69333333333333336</v>
      </c>
      <c r="I17" s="84"/>
      <c r="J17" s="84"/>
      <c r="K17" s="84"/>
      <c r="L17" s="84"/>
      <c r="M17" s="84"/>
      <c r="N17" s="84"/>
    </row>
    <row r="18" spans="2:18" ht="18" hidden="1" customHeight="1" x14ac:dyDescent="0.3">
      <c r="B18" s="82" t="s">
        <v>61</v>
      </c>
      <c r="C18" s="83" t="s">
        <v>5</v>
      </c>
      <c r="D18" s="86">
        <f>(D16/2)/0.9659</f>
        <v>4.4518066052386374</v>
      </c>
      <c r="F18" s="123">
        <v>35</v>
      </c>
      <c r="G18" s="132">
        <v>1.1000000000000001</v>
      </c>
      <c r="H18" s="124">
        <f t="shared" si="0"/>
        <v>0.66666666666666663</v>
      </c>
      <c r="I18" s="84"/>
      <c r="J18" s="84"/>
      <c r="K18" s="84"/>
      <c r="L18" s="84"/>
      <c r="M18" s="84"/>
      <c r="N18" s="84"/>
    </row>
    <row r="19" spans="2:18" ht="18" hidden="1" customHeight="1" x14ac:dyDescent="0.3">
      <c r="B19" s="82" t="s">
        <v>46</v>
      </c>
      <c r="C19" s="83" t="s">
        <v>5</v>
      </c>
      <c r="D19" s="86">
        <f>D18/COS(D17*PI()/180)</f>
        <v>4.8825300833814431</v>
      </c>
      <c r="F19" s="134" t="s">
        <v>51</v>
      </c>
      <c r="G19" s="135">
        <f>VLOOKUP($D$15,F7:G18,2)</f>
        <v>1.1000000000000001</v>
      </c>
      <c r="I19" s="84"/>
      <c r="J19" s="84"/>
      <c r="K19" s="84"/>
      <c r="L19" s="84"/>
      <c r="M19" s="84"/>
      <c r="N19" s="84"/>
    </row>
    <row r="20" spans="2:18" ht="18" hidden="1" customHeight="1" x14ac:dyDescent="0.3">
      <c r="B20" s="82" t="s">
        <v>48</v>
      </c>
      <c r="C20" s="83" t="s">
        <v>5</v>
      </c>
      <c r="D20" s="86">
        <f>0.6088*(((D16/(3.73205))/2)/0.7934)</f>
        <v>0.88410419170465926</v>
      </c>
      <c r="F20" s="140" t="s">
        <v>39</v>
      </c>
      <c r="G20" s="140"/>
      <c r="H20" s="140"/>
      <c r="I20" s="84"/>
      <c r="J20" s="84"/>
      <c r="K20" s="84"/>
      <c r="L20" s="84"/>
      <c r="M20" s="84"/>
      <c r="N20" s="84"/>
    </row>
    <row r="21" spans="2:18" ht="18" hidden="1" customHeight="1" x14ac:dyDescent="0.3">
      <c r="B21" s="82" t="s">
        <v>60</v>
      </c>
      <c r="C21" s="83" t="s">
        <v>49</v>
      </c>
      <c r="D21" s="86">
        <f>D18*D20</f>
        <v>3.9358608803499684</v>
      </c>
      <c r="F21" s="48" t="s">
        <v>38</v>
      </c>
      <c r="G21" s="107"/>
      <c r="H21" s="107"/>
      <c r="I21" s="84"/>
      <c r="J21" s="84"/>
      <c r="K21" s="84"/>
      <c r="L21" s="84"/>
      <c r="M21" s="84"/>
      <c r="N21" s="84"/>
    </row>
    <row r="22" spans="2:18" ht="18" hidden="1" customHeight="1" x14ac:dyDescent="0.3">
      <c r="B22" s="82" t="s">
        <v>59</v>
      </c>
      <c r="C22" s="83" t="s">
        <v>49</v>
      </c>
      <c r="D22" s="86">
        <f>D19*D20</f>
        <v>4.316665312841633</v>
      </c>
      <c r="F22" s="133" t="s">
        <v>83</v>
      </c>
      <c r="G22" s="90"/>
      <c r="H22" s="90"/>
      <c r="I22" s="84"/>
      <c r="J22" s="84"/>
      <c r="K22" s="84"/>
      <c r="L22" s="84"/>
      <c r="M22" s="84"/>
      <c r="N22" s="84"/>
    </row>
    <row r="23" spans="2:18" ht="18" customHeight="1" x14ac:dyDescent="0.3">
      <c r="B23" s="3" t="s">
        <v>19</v>
      </c>
      <c r="C23" s="50"/>
      <c r="D23" s="49"/>
      <c r="F23" s="92"/>
      <c r="G23" s="91"/>
      <c r="I23" s="93"/>
      <c r="J23" s="93"/>
      <c r="K23" s="93"/>
      <c r="L23" s="93"/>
      <c r="M23" s="93"/>
      <c r="N23" s="93"/>
      <c r="O23" s="79"/>
      <c r="P23" s="79"/>
      <c r="Q23" s="79"/>
      <c r="R23" s="79"/>
    </row>
    <row r="24" spans="2:18" ht="18" hidden="1" customHeight="1" x14ac:dyDescent="0.3">
      <c r="B24" s="13" t="s">
        <v>41</v>
      </c>
      <c r="C24" s="83" t="s">
        <v>54</v>
      </c>
      <c r="D24" s="94">
        <f>(D21*D14*G19)+(D19*D7)+(D22*D13)</f>
        <v>373.73882100205481</v>
      </c>
      <c r="F24" s="92"/>
      <c r="G24" s="91"/>
      <c r="I24" s="93"/>
      <c r="J24" s="93"/>
      <c r="K24" s="93"/>
      <c r="L24" s="93"/>
      <c r="M24" s="93"/>
      <c r="N24" s="93"/>
      <c r="O24" s="95"/>
      <c r="P24" s="95"/>
      <c r="Q24" s="95"/>
      <c r="R24" s="95"/>
    </row>
    <row r="25" spans="2:18" ht="18" customHeight="1" x14ac:dyDescent="0.3">
      <c r="B25" s="96" t="s">
        <v>52</v>
      </c>
      <c r="C25" s="83" t="s">
        <v>53</v>
      </c>
      <c r="D25" s="97">
        <f>(D19/200)*1000</f>
        <v>24.412650416907216</v>
      </c>
    </row>
    <row r="26" spans="2:18" ht="30" customHeight="1" x14ac:dyDescent="0.3">
      <c r="B26" s="98"/>
      <c r="C26" s="99"/>
      <c r="D26" s="106"/>
    </row>
    <row r="27" spans="2:18" ht="18" customHeight="1" x14ac:dyDescent="0.3">
      <c r="B27" s="101" t="s">
        <v>63</v>
      </c>
      <c r="C27" s="83" t="s">
        <v>53</v>
      </c>
      <c r="D27" s="102">
        <f>((5/384)*((D24*9.81*D19^3)/(D9*D8)))*10000</f>
        <v>24.223466931539207</v>
      </c>
      <c r="G27" s="103"/>
      <c r="H27" s="103"/>
      <c r="I27" s="79"/>
      <c r="J27" s="79"/>
      <c r="K27" s="79"/>
      <c r="L27" s="79"/>
      <c r="M27" s="79"/>
      <c r="N27" s="79"/>
      <c r="O27" s="79"/>
      <c r="P27" s="79"/>
      <c r="Q27" s="79"/>
      <c r="R27" s="79"/>
    </row>
    <row r="28" spans="2:18" ht="18" customHeight="1" x14ac:dyDescent="0.3">
      <c r="I28" s="104"/>
      <c r="J28" s="104"/>
      <c r="K28" s="104"/>
      <c r="L28" s="104"/>
      <c r="M28" s="104"/>
      <c r="N28" s="104"/>
      <c r="O28" s="104"/>
      <c r="P28" s="104"/>
      <c r="Q28" s="104"/>
      <c r="R28" s="104"/>
    </row>
    <row r="29" spans="2:18" ht="18" customHeight="1" x14ac:dyDescent="0.3">
      <c r="I29" s="104"/>
      <c r="J29" s="104"/>
      <c r="K29" s="104"/>
      <c r="L29" s="104"/>
      <c r="M29" s="104"/>
      <c r="N29" s="104"/>
      <c r="O29" s="104"/>
      <c r="P29" s="104"/>
      <c r="Q29" s="104"/>
      <c r="R29" s="104"/>
    </row>
    <row r="30" spans="2:18" ht="18" customHeight="1" x14ac:dyDescent="0.3">
      <c r="I30" s="104"/>
      <c r="J30" s="104"/>
      <c r="K30" s="104"/>
      <c r="L30" s="104"/>
      <c r="M30" s="104"/>
      <c r="N30" s="104"/>
      <c r="O30" s="104"/>
      <c r="P30" s="104"/>
      <c r="Q30" s="104"/>
      <c r="R30" s="104"/>
    </row>
    <row r="31" spans="2:18" ht="18" customHeight="1" x14ac:dyDescent="0.3">
      <c r="I31" s="84"/>
      <c r="J31" s="84"/>
      <c r="K31" s="84"/>
      <c r="L31" s="84"/>
      <c r="M31" s="84"/>
      <c r="N31" s="84"/>
      <c r="O31" s="84"/>
      <c r="P31" s="84"/>
      <c r="Q31" s="84"/>
      <c r="R31" s="84"/>
    </row>
    <row r="32" spans="2:18" ht="18" customHeight="1" x14ac:dyDescent="0.3">
      <c r="I32" s="104"/>
      <c r="J32" s="104"/>
      <c r="K32" s="104"/>
      <c r="L32" s="104"/>
      <c r="M32" s="104"/>
      <c r="N32" s="104"/>
      <c r="O32" s="104"/>
      <c r="P32" s="104"/>
      <c r="Q32" s="104"/>
      <c r="R32" s="104"/>
    </row>
    <row r="33" spans="4:18" ht="18" customHeight="1" x14ac:dyDescent="0.3">
      <c r="D33" s="2"/>
      <c r="I33" s="104"/>
      <c r="J33" s="104"/>
      <c r="K33" s="104"/>
      <c r="L33" s="104"/>
      <c r="M33" s="104"/>
      <c r="N33" s="104"/>
      <c r="O33" s="104"/>
      <c r="P33" s="104"/>
      <c r="Q33" s="104"/>
      <c r="R33" s="104"/>
    </row>
    <row r="34" spans="4:18" ht="18" customHeight="1" x14ac:dyDescent="0.3">
      <c r="I34" s="104"/>
      <c r="J34" s="104"/>
      <c r="K34" s="104"/>
      <c r="L34" s="104"/>
      <c r="M34" s="104"/>
      <c r="N34" s="104"/>
      <c r="O34" s="104"/>
      <c r="P34" s="104"/>
      <c r="Q34" s="104"/>
      <c r="R34" s="104"/>
    </row>
    <row r="35" spans="4:18" ht="18" customHeight="1" x14ac:dyDescent="0.3">
      <c r="I35" s="104"/>
      <c r="J35" s="104"/>
      <c r="K35" s="104"/>
      <c r="L35" s="104"/>
      <c r="M35" s="104"/>
      <c r="N35" s="104"/>
      <c r="O35" s="104"/>
      <c r="P35" s="104"/>
      <c r="Q35" s="104"/>
      <c r="R35" s="104"/>
    </row>
    <row r="36" spans="4:18" ht="18" customHeight="1" x14ac:dyDescent="0.3"/>
    <row r="37" spans="4:18" ht="18" customHeight="1" x14ac:dyDescent="0.3"/>
    <row r="38" spans="4:18" ht="18" customHeight="1" x14ac:dyDescent="0.3"/>
    <row r="39" spans="4:18" ht="18" customHeight="1" x14ac:dyDescent="0.3"/>
    <row r="40" spans="4:18" ht="18" customHeight="1" x14ac:dyDescent="0.3"/>
    <row r="41" spans="4:18" ht="18" customHeight="1" x14ac:dyDescent="0.3"/>
    <row r="42" spans="4:18" ht="18" customHeight="1" x14ac:dyDescent="0.3"/>
    <row r="43" spans="4:18" ht="18" customHeight="1" x14ac:dyDescent="0.3"/>
    <row r="44" spans="4:18" ht="18" customHeight="1" x14ac:dyDescent="0.3"/>
    <row r="45" spans="4:18" ht="18" customHeight="1" x14ac:dyDescent="0.3"/>
    <row r="46" spans="4:18" ht="18" customHeight="1" x14ac:dyDescent="0.3"/>
  </sheetData>
  <sheetProtection algorithmName="SHA-512" hashValue="UdIXbdCQKlqg+9ToY7JmPk8ygxN0uBpaTggkPQR34bP+qDpyuC3V9YSJ1FZo+qJf7ofqmKDDAijtmSl1cln3kw==" saltValue="TNRdJHmzOsR5leEz92L3hg==" spinCount="100000" sheet="1" objects="1" scenarios="1"/>
  <mergeCells count="2">
    <mergeCell ref="B2:D2"/>
    <mergeCell ref="F20:H20"/>
  </mergeCells>
  <pageMargins left="0.39370078740157483" right="0" top="0.39370078740157483" bottom="0" header="0" footer="0"/>
  <pageSetup paperSize="9" scale="59" fitToHeight="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Chevron_renfort Alu 430752</vt:lpstr>
      <vt:lpstr>Chevron eco_renfort Alu 430752</vt:lpstr>
      <vt:lpstr>VICT 3</vt:lpstr>
      <vt:lpstr>VICT 5</vt:lpstr>
      <vt:lpstr>VICT 7</vt:lpstr>
      <vt:lpstr>'Chevron eco_renfort Alu 430752'!Pente</vt:lpstr>
      <vt:lpstr>'VICT 3'!Pente</vt:lpstr>
      <vt:lpstr>'VICT 5'!Pente</vt:lpstr>
      <vt:lpstr>'VICT 7'!Pente</vt:lpstr>
      <vt:lpstr>Pente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 d'Etudes</dc:creator>
  <cp:lastModifiedBy>Bart COUSSENS</cp:lastModifiedBy>
  <cp:lastPrinted>2019-12-19T12:10:02Z</cp:lastPrinted>
  <dcterms:created xsi:type="dcterms:W3CDTF">1999-01-14T13:32:56Z</dcterms:created>
  <dcterms:modified xsi:type="dcterms:W3CDTF">2021-04-29T13:30:47Z</dcterms:modified>
</cp:coreProperties>
</file>