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PATIO st/INERTIES/CALCULS/CHENEAU/"/>
    </mc:Choice>
  </mc:AlternateContent>
  <xr:revisionPtr revIDLastSave="3" documentId="13_ncr:1_{94F26D44-940C-41BE-A6D8-958A16B45BBE}" xr6:coauthVersionLast="46" xr6:coauthVersionMax="46" xr10:uidLastSave="{73C9D639-8330-49B9-B808-C70252D0887B}"/>
  <bookViews>
    <workbookView xWindow="-108" yWindow="-108" windowWidth="23256" windowHeight="12576" activeTab="1" xr2:uid="{00000000-000D-0000-FFFF-FFFF00000000}"/>
  </bookViews>
  <sheets>
    <sheet name="PORTEE vitrage" sheetId="1" r:id="rId1"/>
    <sheet name="PORTEE plaqu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1" i="1" l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R72" i="1"/>
  <c r="R73" i="1"/>
  <c r="R74" i="1"/>
  <c r="R75" i="1"/>
  <c r="R71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R60" i="1"/>
  <c r="R61" i="1"/>
  <c r="R62" i="1"/>
  <c r="R63" i="1"/>
  <c r="R59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R48" i="1"/>
  <c r="R49" i="1"/>
  <c r="R50" i="1"/>
  <c r="R51" i="1"/>
  <c r="R47" i="1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R47" i="2"/>
  <c r="R48" i="2"/>
  <c r="R49" i="2"/>
  <c r="R50" i="2"/>
  <c r="R46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R59" i="2"/>
  <c r="R60" i="2"/>
  <c r="R61" i="2"/>
  <c r="R62" i="2"/>
  <c r="R58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R71" i="2"/>
  <c r="R72" i="2"/>
  <c r="R73" i="2"/>
  <c r="R74" i="2"/>
  <c r="R70" i="2"/>
  <c r="E21" i="2" l="1"/>
  <c r="J18" i="2"/>
  <c r="J19" i="2" s="1"/>
  <c r="E18" i="2"/>
  <c r="J17" i="2"/>
  <c r="J16" i="2"/>
  <c r="J15" i="2"/>
  <c r="E15" i="2"/>
  <c r="J20" i="2" s="1"/>
  <c r="J14" i="2"/>
  <c r="J13" i="2"/>
  <c r="H13" i="2"/>
  <c r="J12" i="2"/>
  <c r="H4" i="2"/>
  <c r="S44" i="2" l="1"/>
  <c r="AA44" i="2"/>
  <c r="AI44" i="2"/>
  <c r="U44" i="2"/>
  <c r="T44" i="2"/>
  <c r="AB44" i="2"/>
  <c r="R44" i="2"/>
  <c r="AC44" i="2"/>
  <c r="V44" i="2"/>
  <c r="AD44" i="2"/>
  <c r="AF44" i="2"/>
  <c r="W44" i="2"/>
  <c r="AE44" i="2"/>
  <c r="X44" i="2"/>
  <c r="Y44" i="2"/>
  <c r="AG44" i="2"/>
  <c r="Z44" i="2"/>
  <c r="AH44" i="2"/>
  <c r="E28" i="2"/>
  <c r="E26" i="2"/>
  <c r="E45" i="2" s="1"/>
  <c r="E24" i="2"/>
  <c r="E39" i="2" s="1"/>
  <c r="E32" i="2"/>
  <c r="E30" i="2"/>
  <c r="E57" i="2" s="1"/>
  <c r="E34" i="2"/>
  <c r="E69" i="2" s="1"/>
  <c r="H15" i="2"/>
  <c r="AB40" i="2"/>
  <c r="Z41" i="2"/>
  <c r="X42" i="2"/>
  <c r="AB41" i="2"/>
  <c r="H14" i="2"/>
  <c r="AE42" i="2"/>
  <c r="S40" i="2"/>
  <c r="AI40" i="2"/>
  <c r="AG41" i="2"/>
  <c r="W43" i="2"/>
  <c r="T40" i="2"/>
  <c r="R41" i="2"/>
  <c r="AH41" i="2"/>
  <c r="AF42" i="2"/>
  <c r="AB43" i="2"/>
  <c r="U40" i="2"/>
  <c r="S41" i="2"/>
  <c r="AI41" i="2"/>
  <c r="AG42" i="2"/>
  <c r="AC43" i="2"/>
  <c r="T43" i="2"/>
  <c r="AC40" i="2"/>
  <c r="AA41" i="2"/>
  <c r="Y42" i="2"/>
  <c r="U43" i="2"/>
  <c r="AD40" i="2"/>
  <c r="V43" i="2"/>
  <c r="V40" i="2"/>
  <c r="T41" i="2"/>
  <c r="R42" i="2"/>
  <c r="AH42" i="2"/>
  <c r="AD43" i="2"/>
  <c r="Z42" i="2"/>
  <c r="AA40" i="2"/>
  <c r="Y41" i="2"/>
  <c r="W42" i="2"/>
  <c r="AE43" i="2"/>
  <c r="AH55" i="2"/>
  <c r="W40" i="2"/>
  <c r="AE40" i="2"/>
  <c r="U41" i="2"/>
  <c r="AC41" i="2"/>
  <c r="S42" i="2"/>
  <c r="AA42" i="2"/>
  <c r="AI42" i="2"/>
  <c r="X43" i="2"/>
  <c r="AF43" i="2"/>
  <c r="AA55" i="2"/>
  <c r="X40" i="2"/>
  <c r="AF40" i="2"/>
  <c r="V41" i="2"/>
  <c r="AD41" i="2"/>
  <c r="T42" i="2"/>
  <c r="AB42" i="2"/>
  <c r="Y43" i="2"/>
  <c r="AG43" i="2"/>
  <c r="Y53" i="2"/>
  <c r="AG53" i="2"/>
  <c r="AG55" i="2"/>
  <c r="Y40" i="2"/>
  <c r="AG40" i="2"/>
  <c r="W41" i="2"/>
  <c r="AE41" i="2"/>
  <c r="U42" i="2"/>
  <c r="AC42" i="2"/>
  <c r="R43" i="2"/>
  <c r="Z43" i="2"/>
  <c r="AH43" i="2"/>
  <c r="R53" i="2"/>
  <c r="Z53" i="2"/>
  <c r="W54" i="2"/>
  <c r="AI54" i="2"/>
  <c r="R40" i="2"/>
  <c r="Z40" i="2"/>
  <c r="AH40" i="2"/>
  <c r="X41" i="2"/>
  <c r="AF41" i="2"/>
  <c r="V42" i="2"/>
  <c r="AD42" i="2"/>
  <c r="S43" i="2"/>
  <c r="AA43" i="2"/>
  <c r="AI43" i="2"/>
  <c r="AD52" i="2"/>
  <c r="S53" i="2"/>
  <c r="AA53" i="2"/>
  <c r="AF54" i="2"/>
  <c r="V55" i="2"/>
  <c r="W52" i="2"/>
  <c r="AE52" i="2"/>
  <c r="T53" i="2"/>
  <c r="Y54" i="2"/>
  <c r="AG54" i="2"/>
  <c r="W55" i="2"/>
  <c r="AE55" i="2"/>
  <c r="X52" i="2"/>
  <c r="AF52" i="2"/>
  <c r="U53" i="2"/>
  <c r="AC53" i="2"/>
  <c r="R54" i="2"/>
  <c r="Z54" i="2"/>
  <c r="AH54" i="2"/>
  <c r="X55" i="2"/>
  <c r="AF55" i="2"/>
  <c r="AH52" i="2" l="1"/>
  <c r="AF53" i="2"/>
  <c r="U55" i="2"/>
  <c r="AB55" i="2"/>
  <c r="Y55" i="2"/>
  <c r="AE54" i="2"/>
  <c r="V54" i="2"/>
  <c r="AD55" i="2"/>
  <c r="V52" i="2"/>
  <c r="AH53" i="2"/>
  <c r="T52" i="2"/>
  <c r="AB53" i="2"/>
  <c r="X54" i="2"/>
  <c r="Y52" i="2"/>
  <c r="U52" i="2"/>
  <c r="T55" i="2"/>
  <c r="S54" i="2"/>
  <c r="X53" i="2"/>
  <c r="Z52" i="2"/>
  <c r="AI53" i="2"/>
  <c r="AC52" i="2"/>
  <c r="AC55" i="2"/>
  <c r="AD54" i="2"/>
  <c r="AG52" i="2"/>
  <c r="AI52" i="2"/>
  <c r="AE53" i="2"/>
  <c r="AB52" i="2"/>
  <c r="AB54" i="2"/>
  <c r="S52" i="2"/>
  <c r="R55" i="2"/>
  <c r="AD53" i="2"/>
  <c r="R52" i="2"/>
  <c r="S55" i="2"/>
  <c r="AA54" i="2"/>
  <c r="U54" i="2"/>
  <c r="AI55" i="2"/>
  <c r="AA52" i="2"/>
  <c r="Z55" i="2"/>
  <c r="AC54" i="2"/>
  <c r="T54" i="2"/>
  <c r="V53" i="2"/>
  <c r="E51" i="2"/>
  <c r="W53" i="2"/>
  <c r="E63" i="2"/>
  <c r="W68" i="2"/>
  <c r="AE68" i="2"/>
  <c r="AG68" i="2"/>
  <c r="X68" i="2"/>
  <c r="AF68" i="2"/>
  <c r="Y68" i="2"/>
  <c r="Z68" i="2"/>
  <c r="AH68" i="2"/>
  <c r="T68" i="2"/>
  <c r="AB68" i="2"/>
  <c r="R68" i="2"/>
  <c r="S68" i="2"/>
  <c r="AA68" i="2"/>
  <c r="AI68" i="2"/>
  <c r="U68" i="2"/>
  <c r="AC68" i="2"/>
  <c r="V68" i="2"/>
  <c r="AD68" i="2"/>
  <c r="R56" i="2"/>
  <c r="Z56" i="2"/>
  <c r="AH56" i="2"/>
  <c r="AB56" i="2"/>
  <c r="S56" i="2"/>
  <c r="AA56" i="2"/>
  <c r="AI56" i="2"/>
  <c r="T56" i="2"/>
  <c r="U56" i="2"/>
  <c r="AC56" i="2"/>
  <c r="AE56" i="2"/>
  <c r="V56" i="2"/>
  <c r="AD56" i="2"/>
  <c r="W56" i="2"/>
  <c r="Y56" i="2"/>
  <c r="X56" i="2"/>
  <c r="AF56" i="2"/>
  <c r="AG56" i="2"/>
  <c r="S64" i="2"/>
  <c r="AA64" i="2"/>
  <c r="AI64" i="2"/>
  <c r="Z65" i="2"/>
  <c r="AH65" i="2"/>
  <c r="Y66" i="2"/>
  <c r="AG66" i="2"/>
  <c r="X67" i="2"/>
  <c r="AF67" i="2"/>
  <c r="X65" i="2"/>
  <c r="AD67" i="2"/>
  <c r="Y65" i="2"/>
  <c r="W67" i="2"/>
  <c r="T64" i="2"/>
  <c r="AB64" i="2"/>
  <c r="S65" i="2"/>
  <c r="AA65" i="2"/>
  <c r="AI65" i="2"/>
  <c r="Z66" i="2"/>
  <c r="AH66" i="2"/>
  <c r="Y67" i="2"/>
  <c r="AG67" i="2"/>
  <c r="Y64" i="2"/>
  <c r="V67" i="2"/>
  <c r="AE67" i="2"/>
  <c r="U64" i="2"/>
  <c r="AC64" i="2"/>
  <c r="T65" i="2"/>
  <c r="AB65" i="2"/>
  <c r="S66" i="2"/>
  <c r="AA66" i="2"/>
  <c r="AI66" i="2"/>
  <c r="Z67" i="2"/>
  <c r="AH67" i="2"/>
  <c r="AF66" i="2"/>
  <c r="V64" i="2"/>
  <c r="AD64" i="2"/>
  <c r="U65" i="2"/>
  <c r="AC65" i="2"/>
  <c r="T66" i="2"/>
  <c r="AB66" i="2"/>
  <c r="S67" i="2"/>
  <c r="AA67" i="2"/>
  <c r="AI67" i="2"/>
  <c r="W66" i="2"/>
  <c r="AG65" i="2"/>
  <c r="W64" i="2"/>
  <c r="AE64" i="2"/>
  <c r="V65" i="2"/>
  <c r="AD65" i="2"/>
  <c r="U66" i="2"/>
  <c r="AC66" i="2"/>
  <c r="T67" i="2"/>
  <c r="AB67" i="2"/>
  <c r="R65" i="2"/>
  <c r="AG64" i="2"/>
  <c r="AE66" i="2"/>
  <c r="AH64" i="2"/>
  <c r="X66" i="2"/>
  <c r="X64" i="2"/>
  <c r="AF64" i="2"/>
  <c r="W65" i="2"/>
  <c r="AE65" i="2"/>
  <c r="V66" i="2"/>
  <c r="AD66" i="2"/>
  <c r="U67" i="2"/>
  <c r="AC67" i="2"/>
  <c r="R66" i="2"/>
  <c r="AF65" i="2"/>
  <c r="R67" i="2"/>
  <c r="Z64" i="2"/>
  <c r="R64" i="2"/>
  <c r="H4" i="1"/>
  <c r="J18" i="1"/>
  <c r="J19" i="1" s="1"/>
  <c r="J13" i="1"/>
  <c r="J14" i="1"/>
  <c r="J15" i="1"/>
  <c r="J16" i="1"/>
  <c r="J17" i="1"/>
  <c r="J12" i="1"/>
  <c r="E21" i="1"/>
  <c r="E18" i="1"/>
  <c r="H13" i="1"/>
  <c r="E15" i="1"/>
  <c r="J20" i="1" s="1"/>
  <c r="X45" i="1" l="1"/>
  <c r="AF45" i="1"/>
  <c r="Z45" i="1"/>
  <c r="U45" i="1"/>
  <c r="Y45" i="1"/>
  <c r="AG45" i="1"/>
  <c r="AH45" i="1"/>
  <c r="S45" i="1"/>
  <c r="AA45" i="1"/>
  <c r="AI45" i="1"/>
  <c r="T45" i="1"/>
  <c r="AB45" i="1"/>
  <c r="R45" i="1"/>
  <c r="AC45" i="1"/>
  <c r="V45" i="1"/>
  <c r="AD45" i="1"/>
  <c r="W45" i="1"/>
  <c r="AE45" i="1"/>
  <c r="E26" i="1"/>
  <c r="E46" i="1" s="1"/>
  <c r="E30" i="1"/>
  <c r="E58" i="1" s="1"/>
  <c r="E24" i="1"/>
  <c r="E40" i="1" s="1"/>
  <c r="E34" i="1"/>
  <c r="E70" i="1" s="1"/>
  <c r="E28" i="1"/>
  <c r="E52" i="1" s="1"/>
  <c r="E32" i="1"/>
  <c r="E64" i="1" s="1"/>
  <c r="H14" i="1"/>
  <c r="H15" i="1"/>
  <c r="V44" i="1"/>
  <c r="Z41" i="1"/>
  <c r="R41" i="1"/>
  <c r="AD42" i="1"/>
  <c r="AG44" i="1"/>
  <c r="Y42" i="1"/>
  <c r="AH43" i="1"/>
  <c r="U41" i="1"/>
  <c r="AC43" i="1"/>
  <c r="R53" i="1"/>
  <c r="AG56" i="1"/>
  <c r="V56" i="1"/>
  <c r="AH55" i="1"/>
  <c r="AC55" i="1"/>
  <c r="AD54" i="1"/>
  <c r="Y54" i="1"/>
  <c r="Z53" i="1"/>
  <c r="U53" i="1"/>
  <c r="R44" i="1"/>
  <c r="AF44" i="1"/>
  <c r="AA44" i="1"/>
  <c r="AB43" i="1"/>
  <c r="W43" i="1"/>
  <c r="AI42" i="1"/>
  <c r="X42" i="1"/>
  <c r="S42" i="1"/>
  <c r="AE41" i="1"/>
  <c r="T41" i="1"/>
  <c r="R56" i="1"/>
  <c r="AF56" i="1"/>
  <c r="AA56" i="1"/>
  <c r="AB55" i="1"/>
  <c r="W55" i="1"/>
  <c r="AI54" i="1"/>
  <c r="X54" i="1"/>
  <c r="S54" i="1"/>
  <c r="AE53" i="1"/>
  <c r="T53" i="1"/>
  <c r="R43" i="1"/>
  <c r="Z44" i="1"/>
  <c r="U44" i="1"/>
  <c r="AG43" i="1"/>
  <c r="V43" i="1"/>
  <c r="AH42" i="1"/>
  <c r="AC42" i="1"/>
  <c r="AD41" i="1"/>
  <c r="Y41" i="1"/>
  <c r="R55" i="1"/>
  <c r="Z56" i="1"/>
  <c r="U56" i="1"/>
  <c r="AG55" i="1"/>
  <c r="V55" i="1"/>
  <c r="AH54" i="1"/>
  <c r="AC54" i="1"/>
  <c r="AD53" i="1"/>
  <c r="Y53" i="1"/>
  <c r="R42" i="1"/>
  <c r="AE44" i="1"/>
  <c r="T44" i="1"/>
  <c r="AF43" i="1"/>
  <c r="AA43" i="1"/>
  <c r="AB42" i="1"/>
  <c r="W42" i="1"/>
  <c r="AI41" i="1"/>
  <c r="X41" i="1"/>
  <c r="S41" i="1"/>
  <c r="R54" i="1"/>
  <c r="AE56" i="1"/>
  <c r="T56" i="1"/>
  <c r="AF55" i="1"/>
  <c r="AA55" i="1"/>
  <c r="AB54" i="1"/>
  <c r="W54" i="1"/>
  <c r="AI53" i="1"/>
  <c r="X53" i="1"/>
  <c r="S53" i="1"/>
  <c r="AD44" i="1"/>
  <c r="Y44" i="1"/>
  <c r="Z43" i="1"/>
  <c r="U43" i="1"/>
  <c r="AG42" i="1"/>
  <c r="V42" i="1"/>
  <c r="AH41" i="1"/>
  <c r="AC41" i="1"/>
  <c r="AD56" i="1"/>
  <c r="Y56" i="1"/>
  <c r="Z55" i="1"/>
  <c r="U55" i="1"/>
  <c r="AG54" i="1"/>
  <c r="V54" i="1"/>
  <c r="AH53" i="1"/>
  <c r="AC53" i="1"/>
  <c r="AI44" i="1"/>
  <c r="X44" i="1"/>
  <c r="S44" i="1"/>
  <c r="AE43" i="1"/>
  <c r="T43" i="1"/>
  <c r="AF42" i="1"/>
  <c r="AA42" i="1"/>
  <c r="AB41" i="1"/>
  <c r="W41" i="1"/>
  <c r="AI56" i="1"/>
  <c r="X56" i="1"/>
  <c r="S56" i="1"/>
  <c r="AE55" i="1"/>
  <c r="T55" i="1"/>
  <c r="AF54" i="1"/>
  <c r="AA54" i="1"/>
  <c r="AB53" i="1"/>
  <c r="W53" i="1"/>
  <c r="AH44" i="1"/>
  <c r="AC44" i="1"/>
  <c r="AD43" i="1"/>
  <c r="Y43" i="1"/>
  <c r="Z42" i="1"/>
  <c r="U42" i="1"/>
  <c r="AG41" i="1"/>
  <c r="V41" i="1"/>
  <c r="AH56" i="1"/>
  <c r="AC56" i="1"/>
  <c r="AD55" i="1"/>
  <c r="Y55" i="1"/>
  <c r="Z54" i="1"/>
  <c r="U54" i="1"/>
  <c r="AG53" i="1"/>
  <c r="V53" i="1"/>
  <c r="AB44" i="1"/>
  <c r="W44" i="1"/>
  <c r="AI43" i="1"/>
  <c r="X43" i="1"/>
  <c r="S43" i="1"/>
  <c r="AE42" i="1"/>
  <c r="T42" i="1"/>
  <c r="AF41" i="1"/>
  <c r="AA41" i="1"/>
  <c r="AB56" i="1"/>
  <c r="W56" i="1"/>
  <c r="AI55" i="1"/>
  <c r="X55" i="1"/>
  <c r="S55" i="1"/>
  <c r="AE54" i="1"/>
  <c r="T54" i="1"/>
  <c r="AF53" i="1"/>
  <c r="AA53" i="1"/>
  <c r="AD68" i="1" l="1"/>
  <c r="V68" i="1"/>
  <c r="AF67" i="1"/>
  <c r="X67" i="1"/>
  <c r="AH66" i="1"/>
  <c r="Z66" i="1"/>
  <c r="R66" i="1"/>
  <c r="AB68" i="1"/>
  <c r="V67" i="1"/>
  <c r="X66" i="1"/>
  <c r="AG68" i="1"/>
  <c r="AC68" i="1"/>
  <c r="U68" i="1"/>
  <c r="AE67" i="1"/>
  <c r="W67" i="1"/>
  <c r="AG66" i="1"/>
  <c r="Y66" i="1"/>
  <c r="T68" i="1"/>
  <c r="AD67" i="1"/>
  <c r="AF66" i="1"/>
  <c r="AA67" i="1"/>
  <c r="AI68" i="1"/>
  <c r="AA68" i="1"/>
  <c r="S68" i="1"/>
  <c r="AC67" i="1"/>
  <c r="U67" i="1"/>
  <c r="AE66" i="1"/>
  <c r="W66" i="1"/>
  <c r="AH68" i="1"/>
  <c r="Z68" i="1"/>
  <c r="R68" i="1"/>
  <c r="AB67" i="1"/>
  <c r="T67" i="1"/>
  <c r="AD66" i="1"/>
  <c r="V66" i="1"/>
  <c r="AI67" i="1"/>
  <c r="S67" i="1"/>
  <c r="U66" i="1"/>
  <c r="AF68" i="1"/>
  <c r="X68" i="1"/>
  <c r="AH67" i="1"/>
  <c r="Z67" i="1"/>
  <c r="R67" i="1"/>
  <c r="AB66" i="1"/>
  <c r="T66" i="1"/>
  <c r="AE68" i="1"/>
  <c r="W68" i="1"/>
  <c r="AG67" i="1"/>
  <c r="Y67" i="1"/>
  <c r="AI66" i="1"/>
  <c r="AA66" i="1"/>
  <c r="S66" i="1"/>
  <c r="Y68" i="1"/>
  <c r="AC66" i="1"/>
  <c r="Y57" i="1"/>
  <c r="AG57" i="1"/>
  <c r="AA57" i="1"/>
  <c r="R57" i="1"/>
  <c r="Z57" i="1"/>
  <c r="AH57" i="1"/>
  <c r="S57" i="1"/>
  <c r="AI57" i="1"/>
  <c r="V57" i="1"/>
  <c r="T57" i="1"/>
  <c r="AB57" i="1"/>
  <c r="U57" i="1"/>
  <c r="AC57" i="1"/>
  <c r="W57" i="1"/>
  <c r="AE57" i="1"/>
  <c r="X57" i="1"/>
  <c r="AF57" i="1"/>
  <c r="AD57" i="1"/>
  <c r="V65" i="1"/>
  <c r="AD65" i="1"/>
  <c r="AE65" i="1"/>
  <c r="X65" i="1"/>
  <c r="W65" i="1"/>
  <c r="AF65" i="1"/>
  <c r="Y65" i="1"/>
  <c r="AG65" i="1"/>
  <c r="Z65" i="1"/>
  <c r="AH65" i="1"/>
  <c r="R65" i="1"/>
  <c r="S65" i="1"/>
  <c r="AA65" i="1"/>
  <c r="AI65" i="1"/>
  <c r="T65" i="1"/>
  <c r="AB65" i="1"/>
  <c r="U65" i="1"/>
  <c r="AC65" i="1"/>
</calcChain>
</file>

<file path=xl/sharedStrings.xml><?xml version="1.0" encoding="utf-8"?>
<sst xmlns="http://schemas.openxmlformats.org/spreadsheetml/2006/main" count="129" uniqueCount="58">
  <si>
    <t>Pente</t>
  </si>
  <si>
    <t>Poids total sur sablière (+poids chevron) (kg)</t>
  </si>
  <si>
    <t xml:space="preserve">Poids par m </t>
  </si>
  <si>
    <t>Profondeur (m)</t>
  </si>
  <si>
    <t>Distance entre poteaux (m)</t>
  </si>
  <si>
    <t>Distance entre chevrons (m)</t>
  </si>
  <si>
    <t>Pente (°)</t>
  </si>
  <si>
    <t>Charge de neige (kg/m²)</t>
  </si>
  <si>
    <t>Poids vitrage (kg/m²)</t>
  </si>
  <si>
    <t>CHEVRON: 431874</t>
  </si>
  <si>
    <t>RENFORT: 739025 (Fe_50x90x3)</t>
  </si>
  <si>
    <t>Longueur =</t>
  </si>
  <si>
    <t>nu</t>
  </si>
  <si>
    <t>nu =</t>
  </si>
  <si>
    <t>Charge neige* =</t>
  </si>
  <si>
    <t>(*) Charge neige = nu * Ce * Ct * Sk + s1</t>
  </si>
  <si>
    <t>Ce = Ct = 1 &amp; s1 = 0 si pente &gt; 5%</t>
  </si>
  <si>
    <t>SABLIERE: 432027</t>
  </si>
  <si>
    <t>RENFORT: 739016 (Fe_10x100)</t>
  </si>
  <si>
    <r>
      <t xml:space="preserve">f = 5/384 * ( G * L^4 / E * I )   </t>
    </r>
    <r>
      <rPr>
        <b/>
        <i/>
        <sz val="8"/>
        <color indexed="12"/>
        <rFont val="Arial"/>
        <family val="2"/>
      </rPr>
      <t>G = N par m</t>
    </r>
  </si>
  <si>
    <t xml:space="preserve">EI_sablière (Nm²) = </t>
  </si>
  <si>
    <t>I cheneau (cm4)</t>
  </si>
  <si>
    <t>I renfort cheneau (cm4)</t>
  </si>
  <si>
    <t>Constante 'flèche max'</t>
  </si>
  <si>
    <t xml:space="preserve">Longueur barre (m) = </t>
  </si>
  <si>
    <t>Poids cheneau (kg)</t>
  </si>
  <si>
    <t>Poids renfort cheneau (kg)</t>
  </si>
  <si>
    <t>Poids cheneau + renfort (kg)</t>
  </si>
  <si>
    <t>Poids chevron (kg)</t>
  </si>
  <si>
    <t>Poids renfort chevron (kg)</t>
  </si>
  <si>
    <t>Poids chevron + renfort (kg)</t>
  </si>
  <si>
    <t xml:space="preserve">Distance maxi entre poteaux (m) = </t>
  </si>
  <si>
    <t>Nombre chevrons</t>
  </si>
  <si>
    <t>Profondeur</t>
  </si>
  <si>
    <t>Charge neige</t>
  </si>
  <si>
    <t>DISTANCE POTEAU   PATIO st cheneau + chevron   Flèche maxi=L/200 / vitrage 20kg/m² / pas chevron=0,700m</t>
  </si>
  <si>
    <t>DISTANCE POTEAU   PATIO st cheneau + chevron renforcé   Flèche maxi=L/200 / vitrage 20kg/m² / pas chevron=0,700m</t>
  </si>
  <si>
    <t>DISTANCE POTEAU   PATIO st cheneau + chevron   Flèche maxi=L/200 / plaque 5kg/m² / pas chevron=1,300m</t>
  </si>
  <si>
    <t>DISTANCE POTEAU   PATIO st cheneau + chevron renforcé   Flèche maxi=L/200 / plaque 5kg/m² / pas chevron=1,300m</t>
  </si>
  <si>
    <t xml:space="preserve">EI_sablière + EI_2x renfort (Nm²) = </t>
  </si>
  <si>
    <t xml:space="preserve">EI_sablière + EI_1x renfort (Nm²) = </t>
  </si>
  <si>
    <t xml:space="preserve">DISTANCE POTEAU   PATIO st cheneau 1x renfort + chevron   Flèche maxi=L/200 / vitrage 20kg/m² / pas chevron=0,700m </t>
  </si>
  <si>
    <t xml:space="preserve">DISTANCE POTEAU   PATIO st cheneau 1x renfort + chevron renforcé   Flèche maxi=L/200 / vitrage 20kg/m² / pas chevron=0,700m </t>
  </si>
  <si>
    <t xml:space="preserve">DISTANCE POTEAU   PATIO st cheneau 2x renfort + chevron   Flèche maxi=L/200 / vitrage 20kg/m² / pas chevron=0,700m </t>
  </si>
  <si>
    <t xml:space="preserve">DISTANCE POTEAU   PATIO st cheneau 2x renfort + chevron renforcé   Flèche maxi=L/200 / vitrage 20kg/m² / pas chevron=0,700m </t>
  </si>
  <si>
    <t xml:space="preserve">DISTANCE POTEAU   PATIO st cheneau 1x renfort + chevron   Flèche maxi=L/200 / plaque 5kg/m² / pas chevron=1,300m </t>
  </si>
  <si>
    <t xml:space="preserve">DISTANCE POTEAU   PATIO st cheneau 1x renfort + chevron renforcé   Flèche maxi=L/200 / plaque 5kg/m² / pas chevron=1,300m </t>
  </si>
  <si>
    <t xml:space="preserve">DISTANCE POTEAU   PATIO st cheneau 2x renfort + chevron   Flèche maxi=L/200 / plaque 5kg/m² / pas chevron=1,300m </t>
  </si>
  <si>
    <t xml:space="preserve">DISTANCE POTEAU   PATIO st cheneau 2x renfort + chevron renforcé   Flèche maxi=L/200 / plaque 5kg/m² / pas chevron=1,300m </t>
  </si>
  <si>
    <r>
      <t xml:space="preserve">Version 10/2020   </t>
    </r>
    <r>
      <rPr>
        <sz val="10"/>
        <color indexed="10"/>
        <rFont val="Arial"/>
        <family val="2"/>
      </rPr>
      <t>Ces valeurs sont données a titre indicatif et n'engagent Flandria !</t>
    </r>
  </si>
  <si>
    <t>FLECHE MAXI = L/200</t>
  </si>
  <si>
    <r>
      <t>P A T I O st</t>
    </r>
    <r>
      <rPr>
        <b/>
        <sz val="12"/>
        <color indexed="9"/>
        <rFont val="Arial"/>
        <family val="2"/>
      </rPr>
      <t xml:space="preserve">   CALCUL PORTEE SABLIERE - </t>
    </r>
    <r>
      <rPr>
        <b/>
        <sz val="12"/>
        <color rgb="FF0000CC"/>
        <rFont val="Arial"/>
        <family val="2"/>
      </rPr>
      <t>vitrage</t>
    </r>
  </si>
  <si>
    <r>
      <t>P A T I O st</t>
    </r>
    <r>
      <rPr>
        <b/>
        <sz val="12"/>
        <color indexed="9"/>
        <rFont val="Arial"/>
        <family val="2"/>
      </rPr>
      <t xml:space="preserve">   CALCUL PORTEE SABLIERE - </t>
    </r>
    <r>
      <rPr>
        <b/>
        <sz val="12"/>
        <color rgb="FF0000CC"/>
        <rFont val="Arial"/>
        <family val="2"/>
      </rPr>
      <t>plaque</t>
    </r>
  </si>
  <si>
    <t>DELETE</t>
  </si>
  <si>
    <t xml:space="preserve">Distance maxi entre poteaux _ Chéneau non renforcé </t>
  </si>
  <si>
    <t xml:space="preserve">Distance maxi entre poteaux _ Chéneau 1x renforcé </t>
  </si>
  <si>
    <t xml:space="preserve">Distance maxi entre poteaux _ Chéneau 2x renforcé </t>
  </si>
  <si>
    <t>Ces valeurs sont données a titre indicatif et n'engagent Flandria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</si>
</sst>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00"/>
    <numFmt numFmtId="166" formatCode="0.0"/>
    <numFmt numFmtId="167" formatCode="_-* #,##0.0\ _€_-;\-* #,##0.0\ _€_-;_-* &quot;-&quot;??\ _€_-;_-@_-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MS Sans Serif"/>
      <family val="2"/>
    </font>
    <font>
      <b/>
      <sz val="8"/>
      <color indexed="9"/>
      <name val="MS Sans Serif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i/>
      <sz val="8"/>
      <color indexed="12"/>
      <name val="Arial"/>
      <family val="2"/>
    </font>
    <font>
      <b/>
      <sz val="10"/>
      <color rgb="FF0000CC"/>
      <name val="Arial"/>
      <family val="2"/>
    </font>
    <font>
      <sz val="10"/>
      <color rgb="FF0000CC"/>
      <name val="Arial"/>
      <family val="2"/>
    </font>
    <font>
      <sz val="10"/>
      <color rgb="FFFF0000"/>
      <name val="Arial"/>
      <family val="2"/>
    </font>
    <font>
      <b/>
      <sz val="1"/>
      <name val="Arial"/>
      <family val="2"/>
    </font>
    <font>
      <b/>
      <sz val="12"/>
      <color rgb="FF0000CC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4" fillId="0" borderId="1" xfId="0" applyFont="1" applyBorder="1"/>
    <xf numFmtId="0" fontId="0" fillId="0" borderId="0" xfId="0" applyFill="1" applyBorder="1"/>
    <xf numFmtId="0" fontId="0" fillId="0" borderId="0" xfId="0" applyAlignment="1"/>
    <xf numFmtId="0" fontId="12" fillId="0" borderId="0" xfId="0" applyFont="1"/>
    <xf numFmtId="166" fontId="4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2" fontId="3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66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165" fontId="3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right"/>
    </xf>
    <xf numFmtId="165" fontId="0" fillId="0" borderId="0" xfId="0" applyNumberFormat="1"/>
    <xf numFmtId="0" fontId="0" fillId="0" borderId="9" xfId="0" applyBorder="1"/>
    <xf numFmtId="2" fontId="0" fillId="0" borderId="9" xfId="0" applyNumberFormat="1" applyFill="1" applyBorder="1" applyAlignment="1">
      <alignment horizont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top"/>
      <protection hidden="1"/>
    </xf>
    <xf numFmtId="165" fontId="4" fillId="0" borderId="0" xfId="0" applyNumberFormat="1" applyFont="1" applyFill="1" applyBorder="1" applyAlignment="1" applyProtection="1">
      <alignment horizontal="center" vertical="top"/>
      <protection hidden="1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167" fontId="3" fillId="0" borderId="11" xfId="1" applyNumberFormat="1" applyFont="1" applyBorder="1" applyAlignment="1">
      <alignment horizontal="center"/>
    </xf>
    <xf numFmtId="167" fontId="3" fillId="0" borderId="18" xfId="1" applyNumberFormat="1" applyFont="1" applyBorder="1" applyAlignment="1">
      <alignment horizontal="center"/>
    </xf>
    <xf numFmtId="167" fontId="3" fillId="0" borderId="12" xfId="1" applyNumberFormat="1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3" fillId="0" borderId="19" xfId="0" applyFont="1" applyBorder="1"/>
    <xf numFmtId="0" fontId="3" fillId="0" borderId="20" xfId="0" applyFont="1" applyBorder="1"/>
    <xf numFmtId="2" fontId="19" fillId="0" borderId="21" xfId="0" applyNumberFormat="1" applyFont="1" applyBorder="1"/>
    <xf numFmtId="2" fontId="19" fillId="0" borderId="22" xfId="0" applyNumberFormat="1" applyFont="1" applyBorder="1"/>
    <xf numFmtId="2" fontId="19" fillId="0" borderId="23" xfId="0" applyNumberFormat="1" applyFont="1" applyBorder="1"/>
    <xf numFmtId="2" fontId="19" fillId="0" borderId="24" xfId="0" applyNumberFormat="1" applyFont="1" applyBorder="1"/>
    <xf numFmtId="2" fontId="19" fillId="0" borderId="25" xfId="0" applyNumberFormat="1" applyFont="1" applyBorder="1"/>
    <xf numFmtId="2" fontId="19" fillId="0" borderId="26" xfId="0" applyNumberFormat="1" applyFont="1" applyBorder="1"/>
    <xf numFmtId="0" fontId="3" fillId="0" borderId="27" xfId="0" applyFont="1" applyBorder="1"/>
    <xf numFmtId="2" fontId="19" fillId="0" borderId="28" xfId="0" applyNumberFormat="1" applyFont="1" applyBorder="1"/>
    <xf numFmtId="2" fontId="19" fillId="0" borderId="29" xfId="0" applyNumberFormat="1" applyFont="1" applyBorder="1"/>
    <xf numFmtId="2" fontId="19" fillId="0" borderId="30" xfId="0" applyNumberFormat="1" applyFont="1" applyBorder="1"/>
    <xf numFmtId="0" fontId="3" fillId="0" borderId="31" xfId="0" applyFont="1" applyBorder="1"/>
    <xf numFmtId="2" fontId="19" fillId="0" borderId="32" xfId="0" applyNumberFormat="1" applyFont="1" applyBorder="1"/>
    <xf numFmtId="2" fontId="19" fillId="0" borderId="33" xfId="0" applyNumberFormat="1" applyFont="1" applyBorder="1"/>
    <xf numFmtId="2" fontId="19" fillId="0" borderId="34" xfId="0" applyNumberFormat="1" applyFont="1" applyBorder="1"/>
    <xf numFmtId="0" fontId="20" fillId="0" borderId="0" xfId="0" applyFont="1"/>
    <xf numFmtId="2" fontId="20" fillId="0" borderId="21" xfId="0" applyNumberFormat="1" applyFont="1" applyBorder="1"/>
    <xf numFmtId="2" fontId="20" fillId="0" borderId="28" xfId="0" applyNumberFormat="1" applyFont="1" applyBorder="1"/>
    <xf numFmtId="2" fontId="20" fillId="0" borderId="22" xfId="0" applyNumberFormat="1" applyFont="1" applyBorder="1"/>
    <xf numFmtId="2" fontId="20" fillId="0" borderId="32" xfId="0" applyNumberFormat="1" applyFont="1" applyBorder="1"/>
    <xf numFmtId="2" fontId="20" fillId="0" borderId="23" xfId="0" applyNumberFormat="1" applyFont="1" applyBorder="1"/>
    <xf numFmtId="2" fontId="20" fillId="0" borderId="29" xfId="0" applyNumberFormat="1" applyFont="1" applyBorder="1"/>
    <xf numFmtId="2" fontId="20" fillId="0" borderId="24" xfId="0" applyNumberFormat="1" applyFont="1" applyBorder="1"/>
    <xf numFmtId="2" fontId="20" fillId="0" borderId="33" xfId="0" applyNumberFormat="1" applyFont="1" applyBorder="1"/>
    <xf numFmtId="2" fontId="20" fillId="0" borderId="25" xfId="0" applyNumberFormat="1" applyFont="1" applyBorder="1"/>
    <xf numFmtId="2" fontId="20" fillId="0" borderId="30" xfId="0" applyNumberFormat="1" applyFont="1" applyBorder="1"/>
    <xf numFmtId="2" fontId="20" fillId="0" borderId="26" xfId="0" applyNumberFormat="1" applyFont="1" applyBorder="1"/>
    <xf numFmtId="2" fontId="20" fillId="0" borderId="34" xfId="0" applyNumberFormat="1" applyFont="1" applyBorder="1"/>
    <xf numFmtId="167" fontId="21" fillId="0" borderId="11" xfId="1" applyNumberFormat="1" applyFont="1" applyBorder="1" applyAlignment="1">
      <alignment horizontal="center"/>
    </xf>
    <xf numFmtId="167" fontId="21" fillId="0" borderId="18" xfId="1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66" fontId="11" fillId="0" borderId="0" xfId="0" applyNumberFormat="1" applyFont="1" applyFill="1" applyBorder="1" applyAlignment="1" applyProtection="1">
      <alignment horizontal="center"/>
      <protection hidden="1"/>
    </xf>
    <xf numFmtId="166" fontId="11" fillId="0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Alignment="1"/>
    <xf numFmtId="2" fontId="11" fillId="0" borderId="0" xfId="0" applyNumberFormat="1" applyFont="1" applyFill="1" applyBorder="1" applyAlignment="1" applyProtection="1">
      <alignment horizontal="center"/>
      <protection hidden="1"/>
    </xf>
    <xf numFmtId="2" fontId="23" fillId="5" borderId="0" xfId="0" applyNumberFormat="1" applyFont="1" applyFill="1" applyAlignment="1" applyProtection="1">
      <alignment horizontal="center"/>
      <protection hidden="1"/>
    </xf>
    <xf numFmtId="2" fontId="23" fillId="5" borderId="0" xfId="0" applyNumberFormat="1" applyFont="1" applyFill="1" applyAlignment="1">
      <alignment horizontal="center"/>
    </xf>
    <xf numFmtId="165" fontId="11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2" fontId="24" fillId="0" borderId="0" xfId="0" applyNumberFormat="1" applyFont="1" applyFill="1" applyBorder="1" applyAlignment="1" applyProtection="1">
      <alignment horizontal="center"/>
      <protection hidden="1"/>
    </xf>
    <xf numFmtId="0" fontId="3" fillId="0" borderId="35" xfId="0" applyFont="1" applyFill="1" applyBorder="1"/>
    <xf numFmtId="0" fontId="3" fillId="0" borderId="0" xfId="0" applyFont="1" applyFill="1" applyBorder="1"/>
    <xf numFmtId="2" fontId="19" fillId="0" borderId="0" xfId="0" applyNumberFormat="1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2" fontId="20" fillId="0" borderId="0" xfId="0" applyNumberFormat="1" applyFont="1" applyFill="1" applyBorder="1"/>
    <xf numFmtId="0" fontId="11" fillId="0" borderId="0" xfId="0" applyFont="1" applyFill="1" applyBorder="1" applyAlignment="1" applyProtection="1">
      <alignment horizontal="left"/>
      <protection hidden="1"/>
    </xf>
    <xf numFmtId="0" fontId="25" fillId="0" borderId="0" xfId="0" applyFont="1" applyFill="1" applyBorder="1" applyAlignment="1" applyProtection="1">
      <alignment horizontal="left" vertical="top"/>
      <protection hidden="1"/>
    </xf>
    <xf numFmtId="2" fontId="20" fillId="0" borderId="15" xfId="0" applyNumberFormat="1" applyFont="1" applyBorder="1"/>
    <xf numFmtId="2" fontId="20" fillId="0" borderId="16" xfId="0" applyNumberFormat="1" applyFont="1" applyBorder="1"/>
    <xf numFmtId="0" fontId="3" fillId="0" borderId="38" xfId="0" applyFont="1" applyFill="1" applyBorder="1"/>
    <xf numFmtId="2" fontId="20" fillId="0" borderId="17" xfId="0" applyNumberFormat="1" applyFont="1" applyBorder="1"/>
    <xf numFmtId="0" fontId="3" fillId="0" borderId="17" xfId="0" applyFont="1" applyFill="1" applyBorder="1"/>
    <xf numFmtId="0" fontId="24" fillId="0" borderId="0" xfId="0" applyFont="1" applyFill="1" applyBorder="1" applyAlignment="1" applyProtection="1">
      <alignment horizontal="left"/>
      <protection hidden="1"/>
    </xf>
    <xf numFmtId="2" fontId="19" fillId="0" borderId="15" xfId="0" applyNumberFormat="1" applyFont="1" applyBorder="1"/>
    <xf numFmtId="2" fontId="19" fillId="0" borderId="16" xfId="0" applyNumberFormat="1" applyFont="1" applyBorder="1"/>
    <xf numFmtId="2" fontId="19" fillId="0" borderId="17" xfId="0" applyNumberFormat="1" applyFont="1" applyBorder="1"/>
    <xf numFmtId="0" fontId="13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left"/>
    </xf>
    <xf numFmtId="0" fontId="26" fillId="0" borderId="0" xfId="0" applyFont="1"/>
    <xf numFmtId="0" fontId="3" fillId="0" borderId="0" xfId="0" applyFont="1" applyAlignment="1" applyProtection="1">
      <alignment horizontal="left"/>
      <protection hidden="1"/>
    </xf>
    <xf numFmtId="0" fontId="1" fillId="0" borderId="10" xfId="0" applyFont="1" applyBorder="1" applyAlignment="1">
      <alignment horizontal="center" vertical="center" textRotation="90"/>
    </xf>
    <xf numFmtId="0" fontId="0" fillId="0" borderId="39" xfId="0" applyBorder="1" applyAlignment="1"/>
    <xf numFmtId="0" fontId="0" fillId="0" borderId="2" xfId="0" applyBorder="1" applyAlignment="1"/>
    <xf numFmtId="0" fontId="1" fillId="0" borderId="40" xfId="0" applyFont="1" applyBorder="1" applyAlignment="1">
      <alignment horizontal="center" vertical="center" textRotation="90"/>
    </xf>
    <xf numFmtId="0" fontId="0" fillId="0" borderId="41" xfId="0" applyBorder="1" applyAlignment="1"/>
    <xf numFmtId="0" fontId="0" fillId="0" borderId="13" xfId="0" applyBorder="1" applyAlignment="1"/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1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2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1" fillId="0" borderId="9" xfId="0" applyFont="1" applyBorder="1" applyAlignment="1">
      <alignment horizontal="center" vertical="center" textRotation="90"/>
    </xf>
    <xf numFmtId="0" fontId="0" fillId="0" borderId="0" xfId="0" applyAlignment="1"/>
    <xf numFmtId="14" fontId="16" fillId="0" borderId="0" xfId="0" applyNumberFormat="1" applyFont="1" applyAlignment="1">
      <alignment horizontal="left" vertical="center"/>
    </xf>
  </cellXfs>
  <cellStyles count="2">
    <cellStyle name="Milliers" xfId="1" builtinId="3"/>
    <cellStyle name="Normal" xfId="0" builtinId="0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30480</xdr:colOff>
      <xdr:row>1</xdr:row>
      <xdr:rowOff>22860</xdr:rowOff>
    </xdr:from>
    <xdr:to>
      <xdr:col>37</xdr:col>
      <xdr:colOff>418642</xdr:colOff>
      <xdr:row>57</xdr:row>
      <xdr:rowOff>135911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CDD94D5-58D2-4F2D-A2AF-047C510BD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2780" y="190500"/>
          <a:ext cx="3504742" cy="316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220980</xdr:colOff>
      <xdr:row>45</xdr:row>
      <xdr:rowOff>53341</xdr:rowOff>
    </xdr:from>
    <xdr:to>
      <xdr:col>1</xdr:col>
      <xdr:colOff>2284980</xdr:colOff>
      <xdr:row>74</xdr:row>
      <xdr:rowOff>179418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34E0B03-E390-454F-97BF-705C77773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1"/>
          <a:ext cx="2064000" cy="4012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</xdr:colOff>
      <xdr:row>1</xdr:row>
      <xdr:rowOff>15240</xdr:rowOff>
    </xdr:from>
    <xdr:to>
      <xdr:col>37</xdr:col>
      <xdr:colOff>395782</xdr:colOff>
      <xdr:row>56</xdr:row>
      <xdr:rowOff>128291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483567A-7B66-4AF7-ADC7-FE182CD8A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9920" y="182880"/>
          <a:ext cx="3504742" cy="316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213360</xdr:colOff>
      <xdr:row>44</xdr:row>
      <xdr:rowOff>30480</xdr:rowOff>
    </xdr:from>
    <xdr:to>
      <xdr:col>1</xdr:col>
      <xdr:colOff>2277360</xdr:colOff>
      <xdr:row>73</xdr:row>
      <xdr:rowOff>171797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17FF655-3F20-4DC5-85E2-DC6371033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1882140"/>
          <a:ext cx="2064000" cy="4012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87"/>
  <sheetViews>
    <sheetView workbookViewId="0">
      <selection activeCell="AO47" sqref="AO47"/>
    </sheetView>
  </sheetViews>
  <sheetFormatPr baseColWidth="10" defaultRowHeight="13.2" x14ac:dyDescent="0.25"/>
  <cols>
    <col min="1" max="1" width="1.77734375" customWidth="1"/>
    <col min="2" max="2" width="36.6640625" customWidth="1"/>
    <col min="3" max="3" width="2.21875" hidden="1" customWidth="1"/>
    <col min="4" max="4" width="52.6640625" customWidth="1"/>
    <col min="5" max="5" width="8.77734375" customWidth="1"/>
    <col min="6" max="6" width="1.77734375" customWidth="1"/>
    <col min="7" max="7" width="29.6640625" hidden="1" customWidth="1"/>
    <col min="8" max="8" width="7" hidden="1" customWidth="1"/>
    <col min="9" max="9" width="14.77734375" hidden="1" customWidth="1"/>
    <col min="10" max="10" width="12.77734375" hidden="1" customWidth="1"/>
    <col min="11" max="11" width="7" hidden="1" customWidth="1"/>
    <col min="12" max="13" width="8.77734375" customWidth="1"/>
    <col min="14" max="14" width="4.77734375" customWidth="1"/>
    <col min="15" max="17" width="5.77734375" hidden="1" customWidth="1"/>
    <col min="18" max="35" width="6.77734375" hidden="1" customWidth="1"/>
  </cols>
  <sheetData>
    <row r="1" spans="2:15" ht="13.2" customHeight="1" x14ac:dyDescent="0.25">
      <c r="B1" s="131" t="s">
        <v>49</v>
      </c>
      <c r="C1" s="132"/>
      <c r="D1" s="132"/>
      <c r="E1" s="132"/>
    </row>
    <row r="2" spans="2:15" ht="20.100000000000001" customHeight="1" x14ac:dyDescent="0.25">
      <c r="B2" s="134" t="s">
        <v>51</v>
      </c>
      <c r="C2" s="135"/>
      <c r="D2" s="135"/>
      <c r="E2" s="135"/>
    </row>
    <row r="3" spans="2:15" ht="5.0999999999999996" customHeight="1" x14ac:dyDescent="0.25"/>
    <row r="4" spans="2:15" ht="18" customHeight="1" thickBot="1" x14ac:dyDescent="0.3">
      <c r="B4" s="12" t="s">
        <v>17</v>
      </c>
      <c r="D4" s="45" t="s">
        <v>3</v>
      </c>
      <c r="E4" s="46">
        <v>3</v>
      </c>
      <c r="G4" s="28" t="s">
        <v>24</v>
      </c>
      <c r="H4" s="29">
        <f>$E$4/COS(E7*PI()/180)</f>
        <v>3.0114595126300423</v>
      </c>
      <c r="I4" s="136" t="s">
        <v>19</v>
      </c>
      <c r="J4" s="136"/>
      <c r="K4" s="136"/>
    </row>
    <row r="5" spans="2:15" ht="18" hidden="1" customHeight="1" thickBot="1" x14ac:dyDescent="0.3">
      <c r="D5" s="45" t="s">
        <v>4</v>
      </c>
      <c r="E5" s="46">
        <v>0</v>
      </c>
    </row>
    <row r="6" spans="2:15" ht="18" customHeight="1" x14ac:dyDescent="0.25">
      <c r="B6" s="12" t="s">
        <v>18</v>
      </c>
      <c r="D6" s="45" t="s">
        <v>5</v>
      </c>
      <c r="E6" s="46">
        <v>0.7</v>
      </c>
      <c r="I6" s="26" t="s">
        <v>0</v>
      </c>
      <c r="J6" s="27" t="s">
        <v>12</v>
      </c>
      <c r="K6" s="17"/>
      <c r="L6" s="116"/>
      <c r="M6" s="117"/>
      <c r="N6" s="117"/>
    </row>
    <row r="7" spans="2:15" ht="18" customHeight="1" x14ac:dyDescent="0.25">
      <c r="B7" s="12" t="s">
        <v>9</v>
      </c>
      <c r="D7" s="45" t="s">
        <v>6</v>
      </c>
      <c r="E7" s="47">
        <v>5</v>
      </c>
      <c r="I7" s="18">
        <v>5</v>
      </c>
      <c r="J7" s="19">
        <v>0.8</v>
      </c>
      <c r="K7" s="17"/>
      <c r="L7" s="116"/>
      <c r="M7" s="117"/>
      <c r="N7" s="117"/>
    </row>
    <row r="8" spans="2:15" ht="18" customHeight="1" x14ac:dyDescent="0.25">
      <c r="B8" s="12" t="s">
        <v>10</v>
      </c>
      <c r="D8" s="45" t="s">
        <v>7</v>
      </c>
      <c r="E8" s="47">
        <v>45</v>
      </c>
      <c r="I8" s="18">
        <v>10</v>
      </c>
      <c r="J8" s="19">
        <v>0.8</v>
      </c>
      <c r="K8" s="17"/>
      <c r="L8" s="32"/>
      <c r="M8" s="33"/>
      <c r="N8" s="33"/>
      <c r="O8" s="11"/>
    </row>
    <row r="9" spans="2:15" ht="18" customHeight="1" x14ac:dyDescent="0.25">
      <c r="B9" s="118" t="s">
        <v>50</v>
      </c>
      <c r="D9" s="45" t="s">
        <v>8</v>
      </c>
      <c r="E9" s="47">
        <v>20</v>
      </c>
      <c r="I9" s="18">
        <v>15</v>
      </c>
      <c r="J9" s="19">
        <v>0.8</v>
      </c>
      <c r="K9" s="17"/>
      <c r="O9" s="11"/>
    </row>
    <row r="10" spans="2:15" ht="18" hidden="1" customHeight="1" x14ac:dyDescent="0.25">
      <c r="D10" s="45" t="s">
        <v>23</v>
      </c>
      <c r="E10" s="47">
        <v>200</v>
      </c>
      <c r="I10" s="18">
        <v>20</v>
      </c>
      <c r="J10" s="19">
        <v>0.8</v>
      </c>
      <c r="K10" s="17"/>
      <c r="L10" s="32"/>
      <c r="M10" s="33"/>
      <c r="N10" s="33"/>
      <c r="O10" s="11"/>
    </row>
    <row r="11" spans="2:15" ht="18" hidden="1" customHeight="1" x14ac:dyDescent="0.25">
      <c r="D11" s="43"/>
      <c r="E11" s="44"/>
      <c r="I11" s="18">
        <v>25</v>
      </c>
      <c r="J11" s="19">
        <v>0.8</v>
      </c>
      <c r="K11" s="17"/>
      <c r="L11" s="32"/>
      <c r="M11" s="33"/>
      <c r="N11" s="33"/>
      <c r="O11" s="11"/>
    </row>
    <row r="12" spans="2:15" ht="18" hidden="1" customHeight="1" x14ac:dyDescent="0.25">
      <c r="D12" s="48"/>
      <c r="E12" s="44"/>
      <c r="I12" s="18">
        <v>30</v>
      </c>
      <c r="J12" s="19">
        <f t="shared" ref="J12:J17" si="0">0.8*(60-$I12)/30</f>
        <v>0.8</v>
      </c>
      <c r="K12" s="17"/>
      <c r="L12" s="32"/>
      <c r="M12" s="33"/>
      <c r="N12" s="33"/>
      <c r="O12" s="11"/>
    </row>
    <row r="13" spans="2:15" ht="18" hidden="1" customHeight="1" x14ac:dyDescent="0.25">
      <c r="D13" s="9" t="s">
        <v>21</v>
      </c>
      <c r="E13" s="13">
        <v>258.57</v>
      </c>
      <c r="G13" s="28" t="s">
        <v>20</v>
      </c>
      <c r="H13">
        <f>70000000000*(E13/100000000)</f>
        <v>180999</v>
      </c>
      <c r="I13" s="18">
        <v>31</v>
      </c>
      <c r="J13" s="19">
        <f t="shared" si="0"/>
        <v>0.77333333333333343</v>
      </c>
      <c r="K13" s="17"/>
    </row>
    <row r="14" spans="2:15" ht="18" hidden="1" customHeight="1" x14ac:dyDescent="0.25">
      <c r="D14" s="9" t="s">
        <v>22</v>
      </c>
      <c r="E14" s="13">
        <v>83.33</v>
      </c>
      <c r="G14" s="83" t="s">
        <v>40</v>
      </c>
      <c r="H14">
        <f>(210000000000*(E14/100000000))+H13</f>
        <v>355992</v>
      </c>
      <c r="I14" s="18">
        <v>32</v>
      </c>
      <c r="J14" s="19">
        <f t="shared" si="0"/>
        <v>0.7466666666666667</v>
      </c>
      <c r="K14" s="17"/>
    </row>
    <row r="15" spans="2:15" ht="18" hidden="1" customHeight="1" x14ac:dyDescent="0.25">
      <c r="D15" s="9" t="s">
        <v>32</v>
      </c>
      <c r="E15" s="14">
        <f>ROUND(E5/E6,0)</f>
        <v>0</v>
      </c>
      <c r="G15" s="84" t="s">
        <v>39</v>
      </c>
      <c r="H15">
        <f>(210000000000*((E14*2)/100000000))+H13</f>
        <v>530985</v>
      </c>
      <c r="I15" s="18">
        <v>33</v>
      </c>
      <c r="J15" s="19">
        <f t="shared" si="0"/>
        <v>0.72000000000000008</v>
      </c>
      <c r="K15" s="17"/>
    </row>
    <row r="16" spans="2:15" ht="18" hidden="1" customHeight="1" x14ac:dyDescent="0.25">
      <c r="D16" s="9" t="s">
        <v>25</v>
      </c>
      <c r="E16" s="15">
        <v>4.1689999999999996</v>
      </c>
      <c r="I16" s="18">
        <v>34</v>
      </c>
      <c r="J16" s="19">
        <f t="shared" si="0"/>
        <v>0.69333333333333336</v>
      </c>
      <c r="K16" s="17"/>
    </row>
    <row r="17" spans="3:11" ht="18" hidden="1" customHeight="1" thickBot="1" x14ac:dyDescent="0.3">
      <c r="D17" s="9" t="s">
        <v>26</v>
      </c>
      <c r="E17" s="15">
        <v>7.6580000000000004</v>
      </c>
      <c r="I17" s="18">
        <v>35</v>
      </c>
      <c r="J17" s="19">
        <f t="shared" si="0"/>
        <v>0.66666666666666663</v>
      </c>
      <c r="K17" s="17"/>
    </row>
    <row r="18" spans="3:11" ht="18" hidden="1" customHeight="1" x14ac:dyDescent="0.25">
      <c r="D18" s="9" t="s">
        <v>27</v>
      </c>
      <c r="E18" s="15">
        <f>E16+E17</f>
        <v>11.827</v>
      </c>
      <c r="I18" s="20" t="s">
        <v>13</v>
      </c>
      <c r="J18" s="21">
        <f>VLOOKUP(E7,I7:J17,2)</f>
        <v>0.8</v>
      </c>
      <c r="K18" s="17"/>
    </row>
    <row r="19" spans="3:11" ht="18" hidden="1" customHeight="1" x14ac:dyDescent="0.25">
      <c r="D19" s="9" t="s">
        <v>28</v>
      </c>
      <c r="E19" s="15">
        <v>1.835</v>
      </c>
      <c r="I19" s="22" t="s">
        <v>14</v>
      </c>
      <c r="J19" s="23">
        <f>J18*E8</f>
        <v>36</v>
      </c>
      <c r="K19" s="17"/>
    </row>
    <row r="20" spans="3:11" ht="18" hidden="1" customHeight="1" thickBot="1" x14ac:dyDescent="0.3">
      <c r="D20" s="9" t="s">
        <v>29</v>
      </c>
      <c r="E20" s="15">
        <v>6.3109999999999999</v>
      </c>
      <c r="I20" s="24" t="s">
        <v>11</v>
      </c>
      <c r="J20" s="25">
        <f>E5-(0.041*2)-(0.022*E15)</f>
        <v>-8.2000000000000003E-2</v>
      </c>
      <c r="K20" s="17"/>
    </row>
    <row r="21" spans="3:11" ht="18" hidden="1" customHeight="1" x14ac:dyDescent="0.25">
      <c r="D21" s="9" t="s">
        <v>30</v>
      </c>
      <c r="E21" s="15">
        <f>E19+E20</f>
        <v>8.1460000000000008</v>
      </c>
      <c r="I21" s="137" t="s">
        <v>15</v>
      </c>
      <c r="J21" s="137"/>
      <c r="K21" s="137"/>
    </row>
    <row r="22" spans="3:11" ht="18" hidden="1" customHeight="1" x14ac:dyDescent="0.25">
      <c r="D22" s="30"/>
      <c r="E22" s="31"/>
      <c r="F22" s="4"/>
      <c r="G22" s="4"/>
      <c r="H22" s="4"/>
      <c r="I22" s="130" t="s">
        <v>16</v>
      </c>
      <c r="J22" s="130"/>
      <c r="K22" s="130"/>
    </row>
    <row r="23" spans="3:11" s="3" customFormat="1" ht="18" hidden="1" customHeight="1" x14ac:dyDescent="0.25">
      <c r="C23" s="133">
        <v>1</v>
      </c>
      <c r="D23" s="2" t="s">
        <v>1</v>
      </c>
      <c r="E23" s="16"/>
      <c r="F23" s="5"/>
      <c r="G23" s="5"/>
      <c r="H23" s="5"/>
    </row>
    <row r="24" spans="3:11" ht="18" hidden="1" customHeight="1" x14ac:dyDescent="0.25">
      <c r="C24" s="127"/>
      <c r="D24" s="1" t="s">
        <v>2</v>
      </c>
      <c r="E24" s="16">
        <f>($J$19*E4/2)+(((E9*(1-0.088))+(E19/E6))*H4/2)+E16</f>
        <v>89.580673759240355</v>
      </c>
      <c r="F24" s="4"/>
      <c r="G24" s="4"/>
      <c r="H24" s="4"/>
    </row>
    <row r="25" spans="3:11" ht="18" hidden="1" customHeight="1" x14ac:dyDescent="0.25">
      <c r="C25" s="126">
        <v>2</v>
      </c>
      <c r="D25" s="1"/>
      <c r="E25" s="16"/>
      <c r="F25" s="4"/>
      <c r="G25" s="4"/>
      <c r="H25" s="4"/>
    </row>
    <row r="26" spans="3:11" ht="18" hidden="1" customHeight="1" x14ac:dyDescent="0.25">
      <c r="C26" s="127"/>
      <c r="D26" s="1" t="s">
        <v>2</v>
      </c>
      <c r="E26" s="16">
        <f>($J$19*E4/2)+(((E9*(1-0.088))+(E21/E6))*H4/2)+E16</f>
        <v>103.15590303367479</v>
      </c>
      <c r="F26" s="4"/>
      <c r="G26" s="4"/>
      <c r="H26" s="4"/>
    </row>
    <row r="27" spans="3:11" ht="18" hidden="1" customHeight="1" x14ac:dyDescent="0.25">
      <c r="C27" s="126">
        <v>3</v>
      </c>
      <c r="D27" s="1"/>
      <c r="E27" s="16"/>
      <c r="F27" s="4"/>
      <c r="G27" s="4"/>
      <c r="H27" s="4"/>
    </row>
    <row r="28" spans="3:11" ht="18" hidden="1" customHeight="1" x14ac:dyDescent="0.25">
      <c r="C28" s="127"/>
      <c r="D28" s="1" t="s">
        <v>2</v>
      </c>
      <c r="E28" s="16">
        <f>($J$19*E4/2)+(((E9*(1-0.088))+(E19/E6))*H4/2)+E18</f>
        <v>97.238673759240356</v>
      </c>
      <c r="F28" s="4"/>
      <c r="G28" s="4"/>
      <c r="H28" s="4"/>
    </row>
    <row r="29" spans="3:11" ht="18" hidden="1" customHeight="1" x14ac:dyDescent="0.25">
      <c r="C29" s="126">
        <v>4</v>
      </c>
      <c r="D29" s="1"/>
      <c r="E29" s="16"/>
      <c r="F29" s="4"/>
      <c r="G29" s="4"/>
      <c r="H29" s="4"/>
    </row>
    <row r="30" spans="3:11" ht="18" hidden="1" customHeight="1" x14ac:dyDescent="0.25">
      <c r="C30" s="127"/>
      <c r="D30" s="1" t="s">
        <v>2</v>
      </c>
      <c r="E30" s="16">
        <f>($J$19*E4/2)+(((E9*(1-0.088))+(E21/E6))*H4/2)+E18</f>
        <v>110.81390303367479</v>
      </c>
      <c r="F30" s="4"/>
      <c r="G30" s="4"/>
      <c r="H30" s="4"/>
    </row>
    <row r="31" spans="3:11" ht="18" hidden="1" customHeight="1" x14ac:dyDescent="0.25">
      <c r="C31" s="126">
        <v>5</v>
      </c>
      <c r="D31" s="1"/>
      <c r="E31" s="16"/>
      <c r="F31" s="4"/>
      <c r="G31" s="4"/>
      <c r="H31" s="4"/>
    </row>
    <row r="32" spans="3:11" ht="18" hidden="1" customHeight="1" x14ac:dyDescent="0.25">
      <c r="C32" s="127"/>
      <c r="D32" s="1" t="s">
        <v>2</v>
      </c>
      <c r="E32" s="16">
        <f>($J$19*E4/2)+(((E9*(1-0.088))+(E19/E6))*H4/2)+(E16+(2*E17))</f>
        <v>104.89667375924036</v>
      </c>
      <c r="F32" s="4"/>
      <c r="G32" s="4"/>
      <c r="H32" s="4"/>
    </row>
    <row r="33" spans="3:35" ht="18" hidden="1" customHeight="1" x14ac:dyDescent="0.25">
      <c r="C33" s="126">
        <v>6</v>
      </c>
      <c r="D33" s="1"/>
      <c r="E33" s="16"/>
      <c r="F33" s="4"/>
      <c r="G33" s="4"/>
      <c r="H33" s="4"/>
    </row>
    <row r="34" spans="3:35" ht="18" hidden="1" customHeight="1" x14ac:dyDescent="0.25">
      <c r="C34" s="127"/>
      <c r="D34" s="1" t="s">
        <v>2</v>
      </c>
      <c r="E34" s="16">
        <f>($J$19*E4/2)+(((E9*(1-0.088))+(E21/E6))*H4/2)+(E16+(2*E17))</f>
        <v>118.47190303367479</v>
      </c>
      <c r="F34" s="4"/>
      <c r="G34" s="4"/>
      <c r="H34" s="4"/>
    </row>
    <row r="35" spans="3:35" ht="18" hidden="1" customHeight="1" x14ac:dyDescent="0.25">
      <c r="C35" s="82"/>
      <c r="D35" s="50"/>
      <c r="E35" s="5"/>
      <c r="F35" s="4"/>
      <c r="G35" s="4"/>
      <c r="H35" s="4"/>
    </row>
    <row r="36" spans="3:35" ht="18" hidden="1" customHeight="1" x14ac:dyDescent="0.25">
      <c r="D36" s="10"/>
      <c r="E36" s="5"/>
      <c r="F36" s="4"/>
      <c r="G36" s="4"/>
      <c r="H36" s="4"/>
    </row>
    <row r="37" spans="3:35" ht="18" hidden="1" customHeight="1" x14ac:dyDescent="0.3">
      <c r="C37" s="140"/>
      <c r="D37" s="141"/>
      <c r="E37" s="87"/>
      <c r="F37" s="4"/>
      <c r="G37" s="4"/>
      <c r="H37" s="4"/>
    </row>
    <row r="38" spans="3:35" ht="18" customHeight="1" x14ac:dyDescent="0.25">
      <c r="D38" s="138"/>
      <c r="E38" s="139"/>
      <c r="F38" s="4"/>
      <c r="G38" s="4"/>
      <c r="H38" s="4"/>
      <c r="P38" s="49" t="s">
        <v>35</v>
      </c>
    </row>
    <row r="39" spans="3:35" ht="18" hidden="1" customHeight="1" x14ac:dyDescent="0.3">
      <c r="C39" s="34"/>
      <c r="D39" s="34"/>
      <c r="E39" s="88"/>
      <c r="F39" s="6"/>
      <c r="G39" s="7"/>
      <c r="H39" s="7"/>
      <c r="P39" s="128" t="s">
        <v>33</v>
      </c>
      <c r="Q39" s="129"/>
      <c r="R39" s="80">
        <v>2</v>
      </c>
      <c r="S39" s="41">
        <v>2</v>
      </c>
      <c r="T39" s="80">
        <v>2.5</v>
      </c>
      <c r="U39" s="42">
        <v>2.5</v>
      </c>
      <c r="V39" s="81">
        <v>3</v>
      </c>
      <c r="W39" s="41">
        <v>3</v>
      </c>
      <c r="X39" s="80">
        <v>3.5</v>
      </c>
      <c r="Y39" s="42">
        <v>3.5</v>
      </c>
      <c r="Z39" s="81">
        <v>4</v>
      </c>
      <c r="AA39" s="41">
        <v>4</v>
      </c>
      <c r="AB39" s="80">
        <v>4.5</v>
      </c>
      <c r="AC39" s="42">
        <v>4.5</v>
      </c>
      <c r="AD39" s="81">
        <v>5</v>
      </c>
      <c r="AE39" s="41">
        <v>5</v>
      </c>
      <c r="AF39" s="80">
        <v>5.5</v>
      </c>
      <c r="AG39" s="42">
        <v>5.5</v>
      </c>
      <c r="AH39" s="81">
        <v>6</v>
      </c>
      <c r="AI39" s="42">
        <v>6</v>
      </c>
    </row>
    <row r="40" spans="3:35" ht="18" hidden="1" customHeight="1" x14ac:dyDescent="0.3">
      <c r="C40" s="96">
        <v>1</v>
      </c>
      <c r="D40" s="112" t="s">
        <v>31</v>
      </c>
      <c r="E40" s="97">
        <f>(((384*$H$13*100000)/(5*$E24*E10))^(1/3))/100</f>
        <v>4.2651177456044422</v>
      </c>
      <c r="F40" s="6"/>
      <c r="G40" s="7"/>
      <c r="H40" s="7"/>
      <c r="P40" s="85" t="s">
        <v>0</v>
      </c>
      <c r="Q40" s="86"/>
      <c r="R40" s="51">
        <v>5</v>
      </c>
      <c r="S40" s="59">
        <v>15</v>
      </c>
      <c r="T40" s="51">
        <v>5</v>
      </c>
      <c r="U40" s="52">
        <v>15</v>
      </c>
      <c r="V40" s="63">
        <v>5</v>
      </c>
      <c r="W40" s="59">
        <v>15</v>
      </c>
      <c r="X40" s="51">
        <v>5</v>
      </c>
      <c r="Y40" s="52">
        <v>15</v>
      </c>
      <c r="Z40" s="63">
        <v>5</v>
      </c>
      <c r="AA40" s="59">
        <v>15</v>
      </c>
      <c r="AB40" s="51">
        <v>5</v>
      </c>
      <c r="AC40" s="52">
        <v>15</v>
      </c>
      <c r="AD40" s="63">
        <v>5</v>
      </c>
      <c r="AE40" s="59">
        <v>15</v>
      </c>
      <c r="AF40" s="51">
        <v>5</v>
      </c>
      <c r="AG40" s="52">
        <v>15</v>
      </c>
      <c r="AH40" s="63">
        <v>5</v>
      </c>
      <c r="AI40" s="52">
        <v>15</v>
      </c>
    </row>
    <row r="41" spans="3:35" ht="18" hidden="1" customHeight="1" x14ac:dyDescent="0.3">
      <c r="C41" s="34"/>
      <c r="D41" s="106" t="s">
        <v>53</v>
      </c>
      <c r="E41" s="36"/>
      <c r="F41" s="6"/>
      <c r="G41" s="7"/>
      <c r="H41" s="7"/>
      <c r="P41" s="120" t="s">
        <v>34</v>
      </c>
      <c r="Q41" s="101">
        <v>45</v>
      </c>
      <c r="R41" s="53">
        <f t="shared" ref="R41:AA45" si="1">(((384*$H$13*100000)/(5*((((VLOOKUP(R$40,$I$7:$J$17,2))*$Q41)*R$39/2)+((($E$9*(1-0.088))+($E$19/$E$6))*((R$39/COS(R$40*PI()/180))/2))+$E$16)*$E$10))^(1/3))/100</f>
        <v>4.845048152206104</v>
      </c>
      <c r="S41" s="60">
        <f t="shared" si="1"/>
        <v>4.8278286073397361</v>
      </c>
      <c r="T41" s="53">
        <f t="shared" si="1"/>
        <v>4.5183884232831879</v>
      </c>
      <c r="U41" s="54">
        <f t="shared" si="1"/>
        <v>4.5021093026461489</v>
      </c>
      <c r="V41" s="64">
        <f t="shared" si="1"/>
        <v>4.2651177456044422</v>
      </c>
      <c r="W41" s="60">
        <f t="shared" si="1"/>
        <v>4.2496091317773708</v>
      </c>
      <c r="X41" s="53">
        <f t="shared" si="1"/>
        <v>4.0605148394711588</v>
      </c>
      <c r="Y41" s="54">
        <f t="shared" si="1"/>
        <v>4.045652095635389</v>
      </c>
      <c r="Z41" s="64">
        <f t="shared" si="1"/>
        <v>3.8902629678020961</v>
      </c>
      <c r="AA41" s="60">
        <f t="shared" si="1"/>
        <v>3.8759520868905128</v>
      </c>
      <c r="AB41" s="53">
        <f t="shared" ref="AB41:AI45" si="2">(((384*$H$13*100000)/(5*((((VLOOKUP(AB$40,$I$7:$J$17,2))*$Q41)*AB$39/2)+((($E$9*(1-0.088))+($E$19/$E$6))*((AB$39/COS(AB$40*PI()/180))/2))+$E$16)*$E$10))^(1/3))/100</f>
        <v>3.745392009108504</v>
      </c>
      <c r="AC41" s="54">
        <f t="shared" si="2"/>
        <v>3.7315601799514293</v>
      </c>
      <c r="AD41" s="64">
        <f t="shared" si="2"/>
        <v>3.6199429692916532</v>
      </c>
      <c r="AE41" s="60">
        <f t="shared" si="2"/>
        <v>3.606532474980257</v>
      </c>
      <c r="AF41" s="53">
        <f t="shared" si="2"/>
        <v>3.5097736345615425</v>
      </c>
      <c r="AG41" s="54">
        <f t="shared" si="2"/>
        <v>3.4967378053381646</v>
      </c>
      <c r="AH41" s="64">
        <f t="shared" si="2"/>
        <v>3.4118985884423059</v>
      </c>
      <c r="AI41" s="54">
        <f t="shared" si="2"/>
        <v>3.3991990399310015</v>
      </c>
    </row>
    <row r="42" spans="3:35" ht="18" hidden="1" customHeight="1" x14ac:dyDescent="0.3">
      <c r="C42" s="34"/>
      <c r="D42" s="35"/>
      <c r="E42" s="36"/>
      <c r="F42" s="6"/>
      <c r="G42" s="7"/>
      <c r="H42" s="7"/>
      <c r="P42" s="121"/>
      <c r="Q42" s="102">
        <v>55</v>
      </c>
      <c r="R42" s="55">
        <f t="shared" si="1"/>
        <v>4.6503816146866965</v>
      </c>
      <c r="S42" s="61">
        <f t="shared" si="1"/>
        <v>4.6357551171403841</v>
      </c>
      <c r="T42" s="55">
        <f t="shared" si="1"/>
        <v>4.3345342208312072</v>
      </c>
      <c r="U42" s="56">
        <f t="shared" si="1"/>
        <v>4.3207357030666573</v>
      </c>
      <c r="V42" s="65">
        <f t="shared" si="1"/>
        <v>4.0900828337994826</v>
      </c>
      <c r="W42" s="61">
        <f t="shared" si="1"/>
        <v>4.0769563107370441</v>
      </c>
      <c r="X42" s="55">
        <f t="shared" si="1"/>
        <v>3.8928508697928343</v>
      </c>
      <c r="Y42" s="56">
        <f t="shared" si="1"/>
        <v>3.8802841265008845</v>
      </c>
      <c r="Z42" s="65">
        <f t="shared" si="1"/>
        <v>3.7288839174734671</v>
      </c>
      <c r="AA42" s="61">
        <f t="shared" si="1"/>
        <v>3.7167933510360034</v>
      </c>
      <c r="AB42" s="55">
        <f t="shared" si="2"/>
        <v>3.5894601229381702</v>
      </c>
      <c r="AC42" s="56">
        <f t="shared" si="2"/>
        <v>3.5777815305002387</v>
      </c>
      <c r="AD42" s="65">
        <f t="shared" si="2"/>
        <v>3.4687961359834141</v>
      </c>
      <c r="AE42" s="61">
        <f t="shared" si="2"/>
        <v>3.4574789429292605</v>
      </c>
      <c r="AF42" s="55">
        <f t="shared" si="2"/>
        <v>3.3628776910159193</v>
      </c>
      <c r="AG42" s="56">
        <f t="shared" si="2"/>
        <v>3.3518811995668396</v>
      </c>
      <c r="AH42" s="65">
        <f t="shared" si="2"/>
        <v>3.2688149944935452</v>
      </c>
      <c r="AI42" s="56">
        <f t="shared" si="2"/>
        <v>3.2581058597928658</v>
      </c>
    </row>
    <row r="43" spans="3:35" ht="18" hidden="1" customHeight="1" x14ac:dyDescent="0.3">
      <c r="C43" s="34"/>
      <c r="D43" s="35"/>
      <c r="E43" s="36"/>
      <c r="F43" s="6"/>
      <c r="G43" s="7"/>
      <c r="H43" s="7"/>
      <c r="P43" s="121"/>
      <c r="Q43" s="102">
        <v>65</v>
      </c>
      <c r="R43" s="55">
        <f t="shared" si="1"/>
        <v>4.4836532122504247</v>
      </c>
      <c r="S43" s="61">
        <f t="shared" si="1"/>
        <v>4.4710059364901644</v>
      </c>
      <c r="T43" s="55">
        <f t="shared" si="1"/>
        <v>4.1773663061210859</v>
      </c>
      <c r="U43" s="56">
        <f t="shared" si="1"/>
        <v>4.1654549160020915</v>
      </c>
      <c r="V43" s="65">
        <f t="shared" si="1"/>
        <v>3.9406480908345167</v>
      </c>
      <c r="W43" s="61">
        <f t="shared" si="1"/>
        <v>3.9293296677815293</v>
      </c>
      <c r="X43" s="55">
        <f t="shared" si="1"/>
        <v>3.7498434957269833</v>
      </c>
      <c r="Y43" s="56">
        <f t="shared" si="1"/>
        <v>3.7390166600830987</v>
      </c>
      <c r="Z43" s="65">
        <f t="shared" si="1"/>
        <v>3.5913352234548244</v>
      </c>
      <c r="AA43" s="61">
        <f t="shared" si="1"/>
        <v>3.5809251266669038</v>
      </c>
      <c r="AB43" s="55">
        <f t="shared" si="2"/>
        <v>3.4566284338033886</v>
      </c>
      <c r="AC43" s="56">
        <f t="shared" si="2"/>
        <v>3.446577960358121</v>
      </c>
      <c r="AD43" s="65">
        <f t="shared" si="2"/>
        <v>3.3400985074577272</v>
      </c>
      <c r="AE43" s="61">
        <f t="shared" si="2"/>
        <v>3.3303628774555092</v>
      </c>
      <c r="AF43" s="55">
        <f t="shared" si="2"/>
        <v>3.2378458265206884</v>
      </c>
      <c r="AG43" s="56">
        <f t="shared" si="2"/>
        <v>3.2283891363314785</v>
      </c>
      <c r="AH43" s="65">
        <f t="shared" si="2"/>
        <v>3.14706572780057</v>
      </c>
      <c r="AI43" s="56">
        <f t="shared" si="2"/>
        <v>3.137858645809938</v>
      </c>
    </row>
    <row r="44" spans="3:35" ht="18" hidden="1" customHeight="1" x14ac:dyDescent="0.3">
      <c r="C44" s="34"/>
      <c r="D44" s="35"/>
      <c r="E44" s="36"/>
      <c r="F44" s="6"/>
      <c r="G44" s="7"/>
      <c r="H44" s="7"/>
      <c r="P44" s="121"/>
      <c r="Q44" s="103">
        <v>90</v>
      </c>
      <c r="R44" s="57">
        <f t="shared" si="1"/>
        <v>4.1519072438575204</v>
      </c>
      <c r="S44" s="62">
        <f t="shared" si="1"/>
        <v>4.1425969468081369</v>
      </c>
      <c r="T44" s="57">
        <f t="shared" si="1"/>
        <v>3.8653839700174317</v>
      </c>
      <c r="U44" s="58">
        <f t="shared" si="1"/>
        <v>3.8566414486428418</v>
      </c>
      <c r="V44" s="66">
        <f t="shared" si="1"/>
        <v>3.644493144403548</v>
      </c>
      <c r="W44" s="62">
        <f t="shared" si="1"/>
        <v>3.6362025714889477</v>
      </c>
      <c r="X44" s="57">
        <f t="shared" si="1"/>
        <v>3.4667559788460607</v>
      </c>
      <c r="Y44" s="58">
        <f t="shared" si="1"/>
        <v>3.4588370278089333</v>
      </c>
      <c r="Z44" s="66">
        <f t="shared" si="1"/>
        <v>3.3192928499917054</v>
      </c>
      <c r="AA44" s="62">
        <f t="shared" si="1"/>
        <v>3.3116870905453872</v>
      </c>
      <c r="AB44" s="57">
        <f t="shared" si="2"/>
        <v>3.1940962839298583</v>
      </c>
      <c r="AC44" s="58">
        <f t="shared" si="2"/>
        <v>3.1867595970404454</v>
      </c>
      <c r="AD44" s="66">
        <f t="shared" si="2"/>
        <v>3.0858779684578574</v>
      </c>
      <c r="AE44" s="62">
        <f t="shared" si="2"/>
        <v>3.0787760357769658</v>
      </c>
      <c r="AF44" s="57">
        <f t="shared" si="2"/>
        <v>2.9909788482209994</v>
      </c>
      <c r="AG44" s="58">
        <f t="shared" si="2"/>
        <v>2.9840843222972886</v>
      </c>
      <c r="AH44" s="66">
        <f t="shared" si="2"/>
        <v>2.906771561940388</v>
      </c>
      <c r="AI44" s="58">
        <f t="shared" si="2"/>
        <v>2.9000622105779081</v>
      </c>
    </row>
    <row r="45" spans="3:35" ht="18" hidden="1" customHeight="1" x14ac:dyDescent="0.25">
      <c r="C45" s="34"/>
      <c r="D45" s="34"/>
      <c r="E45" s="88"/>
      <c r="F45" s="8"/>
      <c r="G45" s="7"/>
      <c r="H45" s="7"/>
      <c r="P45" s="122"/>
      <c r="Q45" s="98">
        <v>140</v>
      </c>
      <c r="R45" s="57">
        <f t="shared" si="1"/>
        <v>3.7009450251827616</v>
      </c>
      <c r="S45" s="57">
        <f t="shared" si="1"/>
        <v>3.6950594166266417</v>
      </c>
      <c r="T45" s="57">
        <f t="shared" si="1"/>
        <v>3.4426457368889514</v>
      </c>
      <c r="U45" s="57">
        <f t="shared" si="1"/>
        <v>3.437137510953332</v>
      </c>
      <c r="V45" s="57">
        <f t="shared" si="1"/>
        <v>3.2440705033198975</v>
      </c>
      <c r="W45" s="57">
        <f t="shared" si="1"/>
        <v>3.2388588069538771</v>
      </c>
      <c r="X45" s="57">
        <f t="shared" si="1"/>
        <v>3.0845997217874297</v>
      </c>
      <c r="Y45" s="57">
        <f t="shared" si="1"/>
        <v>3.0796297270458171</v>
      </c>
      <c r="Z45" s="57">
        <f t="shared" si="1"/>
        <v>2.9524807800318991</v>
      </c>
      <c r="AA45" s="57">
        <f t="shared" si="1"/>
        <v>2.9477132015678302</v>
      </c>
      <c r="AB45" s="57">
        <f t="shared" si="2"/>
        <v>2.840434431166543</v>
      </c>
      <c r="AC45" s="57">
        <f t="shared" si="2"/>
        <v>2.835839926239458</v>
      </c>
      <c r="AD45" s="57">
        <f t="shared" si="2"/>
        <v>2.743667022785627</v>
      </c>
      <c r="AE45" s="57">
        <f t="shared" si="2"/>
        <v>2.7392229535135293</v>
      </c>
      <c r="AF45" s="57">
        <f t="shared" si="2"/>
        <v>2.658869189867902</v>
      </c>
      <c r="AG45" s="57">
        <f t="shared" si="2"/>
        <v>2.6545576322571423</v>
      </c>
      <c r="AH45" s="57">
        <f t="shared" si="2"/>
        <v>2.5836689550299154</v>
      </c>
      <c r="AI45" s="57">
        <f t="shared" si="2"/>
        <v>2.5794754128837867</v>
      </c>
    </row>
    <row r="46" spans="3:35" ht="18" customHeight="1" x14ac:dyDescent="0.25">
      <c r="C46" s="96">
        <v>2</v>
      </c>
      <c r="D46" s="119" t="s">
        <v>54</v>
      </c>
      <c r="E46" s="97">
        <f>1.2*((((384*$H$13*100000)/(5*$E26*E10))^(1/3))/100)</f>
        <v>4.8829883061739441</v>
      </c>
      <c r="F46" s="8"/>
      <c r="G46" s="7"/>
      <c r="H46" s="7"/>
      <c r="P46" s="49" t="s">
        <v>36</v>
      </c>
    </row>
    <row r="47" spans="3:35" ht="18" customHeight="1" x14ac:dyDescent="0.25">
      <c r="C47" s="34"/>
      <c r="D47" s="35"/>
      <c r="E47" s="36"/>
      <c r="F47" s="8"/>
      <c r="G47" s="7"/>
      <c r="H47" s="7"/>
      <c r="P47" s="120" t="s">
        <v>34</v>
      </c>
      <c r="Q47" s="37">
        <v>45</v>
      </c>
      <c r="R47" s="113">
        <f>1.2*((((384*$H$13*100000)/(5*((((VLOOKUP(R$40,$I$7:$J$17,2))*$Q47)*R$39/2)+((($E$9*(1-0.088))+($E$21/$E$6))*((R$39/COS(R$40*PI()/180))/2))+$E$16)*$E$10))^(1/3))/100)</f>
        <v>5.5524752512409066</v>
      </c>
      <c r="S47" s="113">
        <f t="shared" ref="S47:AI51" si="3">1.2*((((384*$H$13*100000)/(5*((((VLOOKUP(S$40,$I$7:$J$17,2))*$Q47)*S$39/2)+((($E$9*(1-0.088))+($E$21/$E$6))*((S$39/COS(S$40*PI()/180))/2))+$E$16)*$E$10))^(1/3))/100)</f>
        <v>5.5279018112726765</v>
      </c>
      <c r="T47" s="113">
        <f t="shared" si="3"/>
        <v>5.1750436267377253</v>
      </c>
      <c r="U47" s="113">
        <f t="shared" si="3"/>
        <v>5.15186757717332</v>
      </c>
      <c r="V47" s="113">
        <f t="shared" si="3"/>
        <v>4.8829883061739441</v>
      </c>
      <c r="W47" s="113">
        <f t="shared" si="3"/>
        <v>4.8609450379065242</v>
      </c>
      <c r="X47" s="113">
        <f t="shared" si="3"/>
        <v>4.6473813481291568</v>
      </c>
      <c r="Y47" s="113">
        <f t="shared" si="3"/>
        <v>4.6262809533506264</v>
      </c>
      <c r="Z47" s="113">
        <f t="shared" si="3"/>
        <v>4.4515323052698772</v>
      </c>
      <c r="AA47" s="113">
        <f t="shared" si="3"/>
        <v>4.4312335127357425</v>
      </c>
      <c r="AB47" s="113">
        <f t="shared" si="3"/>
        <v>4.2850121256240703</v>
      </c>
      <c r="AC47" s="113">
        <f t="shared" si="3"/>
        <v>4.2654065611735028</v>
      </c>
      <c r="AD47" s="113">
        <f t="shared" si="3"/>
        <v>4.1409068949606063</v>
      </c>
      <c r="AE47" s="113">
        <f t="shared" si="3"/>
        <v>4.121909255853093</v>
      </c>
      <c r="AF47" s="113">
        <f t="shared" si="3"/>
        <v>4.0144184106580649</v>
      </c>
      <c r="AG47" s="113">
        <f t="shared" si="3"/>
        <v>3.9959600946665157</v>
      </c>
      <c r="AH47" s="113">
        <f t="shared" si="3"/>
        <v>3.9020930006086649</v>
      </c>
      <c r="AI47" s="113">
        <f t="shared" si="3"/>
        <v>3.8841178270094545</v>
      </c>
    </row>
    <row r="48" spans="3:35" ht="18" customHeight="1" x14ac:dyDescent="0.25">
      <c r="C48" s="34"/>
      <c r="D48" s="35"/>
      <c r="E48" s="36"/>
      <c r="F48" s="8"/>
      <c r="G48" s="7"/>
      <c r="H48" s="7"/>
      <c r="P48" s="121"/>
      <c r="Q48" s="38">
        <v>55</v>
      </c>
      <c r="R48" s="114">
        <f t="shared" ref="R48:AG51" si="4">1.2*((((384*$H$13*100000)/(5*((((VLOOKUP(R$40,$I$7:$J$17,2))*$Q48)*R$39/2)+((($E$9*(1-0.088))+($E$21/$E$6))*((R$39/COS(R$40*PI()/180))/2))+$E$16)*$E$10))^(1/3))/100)</f>
        <v>5.3561783711033533</v>
      </c>
      <c r="S48" s="114">
        <f t="shared" si="4"/>
        <v>5.3348807012713433</v>
      </c>
      <c r="T48" s="114">
        <f t="shared" si="4"/>
        <v>4.99004331946358</v>
      </c>
      <c r="U48" s="114">
        <f t="shared" si="4"/>
        <v>4.9699892691543806</v>
      </c>
      <c r="V48" s="114">
        <f t="shared" si="4"/>
        <v>4.7071168296492036</v>
      </c>
      <c r="W48" s="114">
        <f t="shared" si="4"/>
        <v>4.6880639428645079</v>
      </c>
      <c r="X48" s="114">
        <f t="shared" si="4"/>
        <v>4.4790924729787642</v>
      </c>
      <c r="Y48" s="114">
        <f t="shared" si="4"/>
        <v>4.4608690668730793</v>
      </c>
      <c r="Z48" s="114">
        <f t="shared" si="4"/>
        <v>4.2896803452672145</v>
      </c>
      <c r="AA48" s="114">
        <f t="shared" si="4"/>
        <v>4.272159812247498</v>
      </c>
      <c r="AB48" s="114">
        <f t="shared" si="4"/>
        <v>4.1287206173735393</v>
      </c>
      <c r="AC48" s="114">
        <f t="shared" si="4"/>
        <v>4.1118064239456826</v>
      </c>
      <c r="AD48" s="114">
        <f t="shared" si="4"/>
        <v>3.9894873781209168</v>
      </c>
      <c r="AE48" s="114">
        <f t="shared" si="4"/>
        <v>3.9731038854789364</v>
      </c>
      <c r="AF48" s="114">
        <f t="shared" si="4"/>
        <v>3.8673180882187093</v>
      </c>
      <c r="AG48" s="114">
        <f t="shared" si="4"/>
        <v>3.8514046790481049</v>
      </c>
      <c r="AH48" s="114">
        <f t="shared" si="3"/>
        <v>3.7588597388491816</v>
      </c>
      <c r="AI48" s="114">
        <f t="shared" si="3"/>
        <v>3.7433669100791747</v>
      </c>
    </row>
    <row r="49" spans="3:35" ht="18" customHeight="1" x14ac:dyDescent="0.25">
      <c r="C49" s="34"/>
      <c r="D49" s="35"/>
      <c r="E49" s="36"/>
      <c r="F49" s="8"/>
      <c r="G49" s="7"/>
      <c r="H49" s="7"/>
      <c r="P49" s="121"/>
      <c r="Q49" s="38">
        <v>65</v>
      </c>
      <c r="R49" s="114">
        <f t="shared" si="4"/>
        <v>5.1849912891835972</v>
      </c>
      <c r="S49" s="114">
        <f t="shared" si="3"/>
        <v>5.1662748133291547</v>
      </c>
      <c r="T49" s="114">
        <f t="shared" si="3"/>
        <v>4.8289471337650243</v>
      </c>
      <c r="U49" s="114">
        <f t="shared" si="3"/>
        <v>4.8113467877111988</v>
      </c>
      <c r="V49" s="114">
        <f t="shared" si="3"/>
        <v>4.5541241997516577</v>
      </c>
      <c r="W49" s="114">
        <f t="shared" si="3"/>
        <v>4.5374174709281352</v>
      </c>
      <c r="X49" s="114">
        <f t="shared" si="3"/>
        <v>4.3328027144889409</v>
      </c>
      <c r="Y49" s="114">
        <f t="shared" si="3"/>
        <v>4.316833651557543</v>
      </c>
      <c r="Z49" s="114">
        <f t="shared" si="3"/>
        <v>4.1490636617347345</v>
      </c>
      <c r="AA49" s="114">
        <f t="shared" si="3"/>
        <v>4.133718028862357</v>
      </c>
      <c r="AB49" s="114">
        <f t="shared" si="3"/>
        <v>3.99299351421412</v>
      </c>
      <c r="AC49" s="114">
        <f t="shared" si="3"/>
        <v>3.9781846244937489</v>
      </c>
      <c r="AD49" s="114">
        <f t="shared" si="3"/>
        <v>3.8580369313169154</v>
      </c>
      <c r="AE49" s="114">
        <f t="shared" si="3"/>
        <v>3.8436971021992399</v>
      </c>
      <c r="AF49" s="114">
        <f t="shared" si="3"/>
        <v>3.7396537072038418</v>
      </c>
      <c r="AG49" s="114">
        <f t="shared" si="3"/>
        <v>3.7257288469490337</v>
      </c>
      <c r="AH49" s="114">
        <f t="shared" si="3"/>
        <v>3.6345811804824488</v>
      </c>
      <c r="AI49" s="114">
        <f t="shared" si="3"/>
        <v>3.6210272123846146</v>
      </c>
    </row>
    <row r="50" spans="3:35" ht="18" customHeight="1" x14ac:dyDescent="0.25">
      <c r="C50" s="34"/>
      <c r="D50" s="35"/>
      <c r="E50" s="36"/>
      <c r="F50" s="8"/>
      <c r="G50" s="7"/>
      <c r="H50" s="7"/>
      <c r="P50" s="121"/>
      <c r="Q50" s="38">
        <v>90</v>
      </c>
      <c r="R50" s="114">
        <f t="shared" si="4"/>
        <v>4.8364834905378142</v>
      </c>
      <c r="S50" s="114">
        <f t="shared" si="3"/>
        <v>4.8222948562915855</v>
      </c>
      <c r="T50" s="114">
        <f t="shared" si="3"/>
        <v>4.5016100018416516</v>
      </c>
      <c r="U50" s="114">
        <f t="shared" si="3"/>
        <v>4.4882998471034554</v>
      </c>
      <c r="V50" s="114">
        <f t="shared" si="3"/>
        <v>4.2436557527333223</v>
      </c>
      <c r="W50" s="114">
        <f t="shared" si="3"/>
        <v>4.2310421290658553</v>
      </c>
      <c r="X50" s="114">
        <f t="shared" si="3"/>
        <v>4.0362141933875728</v>
      </c>
      <c r="Y50" s="114">
        <f t="shared" si="3"/>
        <v>4.0241717921683682</v>
      </c>
      <c r="Z50" s="114">
        <f t="shared" si="3"/>
        <v>3.8641784279060474</v>
      </c>
      <c r="AA50" s="114">
        <f t="shared" si="3"/>
        <v>3.8526165200164688</v>
      </c>
      <c r="AB50" s="114">
        <f t="shared" si="3"/>
        <v>3.7181666467091214</v>
      </c>
      <c r="AC50" s="114">
        <f t="shared" si="3"/>
        <v>3.7070169524375123</v>
      </c>
      <c r="AD50" s="114">
        <f t="shared" si="3"/>
        <v>3.5919880915061708</v>
      </c>
      <c r="AE50" s="114">
        <f t="shared" si="3"/>
        <v>3.5811976316637937</v>
      </c>
      <c r="AF50" s="114">
        <f t="shared" si="3"/>
        <v>3.4813621113832034</v>
      </c>
      <c r="AG50" s="114">
        <f t="shared" si="3"/>
        <v>3.4708887505783248</v>
      </c>
      <c r="AH50" s="114">
        <f t="shared" si="3"/>
        <v>3.3832166439151083</v>
      </c>
      <c r="AI50" s="114">
        <f t="shared" si="3"/>
        <v>3.3730261817687457</v>
      </c>
    </row>
    <row r="51" spans="3:35" ht="18" customHeight="1" x14ac:dyDescent="0.3">
      <c r="C51" s="34"/>
      <c r="D51" s="34"/>
      <c r="E51" s="88"/>
      <c r="F51" s="6"/>
      <c r="G51" s="7"/>
      <c r="H51" s="7"/>
      <c r="P51" s="122"/>
      <c r="Q51" s="111">
        <v>140</v>
      </c>
      <c r="R51" s="115">
        <f t="shared" si="4"/>
        <v>4.3475101213329852</v>
      </c>
      <c r="S51" s="115">
        <f t="shared" si="3"/>
        <v>4.338231554476927</v>
      </c>
      <c r="T51" s="115">
        <f t="shared" si="3"/>
        <v>4.0435746768750169</v>
      </c>
      <c r="U51" s="115">
        <f t="shared" si="3"/>
        <v>4.0348954756158468</v>
      </c>
      <c r="V51" s="115">
        <f t="shared" si="3"/>
        <v>3.8100133683073132</v>
      </c>
      <c r="W51" s="115">
        <f t="shared" si="3"/>
        <v>3.8018042222488808</v>
      </c>
      <c r="X51" s="115">
        <f t="shared" si="3"/>
        <v>3.6225007176838115</v>
      </c>
      <c r="Y51" s="115">
        <f t="shared" si="3"/>
        <v>3.614674218293819</v>
      </c>
      <c r="Z51" s="115">
        <f t="shared" si="3"/>
        <v>3.4671827423506705</v>
      </c>
      <c r="AA51" s="115">
        <f t="shared" si="3"/>
        <v>3.4596763953297303</v>
      </c>
      <c r="AB51" s="115">
        <f t="shared" si="3"/>
        <v>3.3354835072771851</v>
      </c>
      <c r="AC51" s="115">
        <f t="shared" si="3"/>
        <v>3.3282507082447617</v>
      </c>
      <c r="AD51" s="115">
        <f t="shared" si="3"/>
        <v>3.2217578527400415</v>
      </c>
      <c r="AE51" s="115">
        <f t="shared" si="3"/>
        <v>3.2147626894688952</v>
      </c>
      <c r="AF51" s="115">
        <f t="shared" si="3"/>
        <v>3.1221098667816625</v>
      </c>
      <c r="AG51" s="115">
        <f t="shared" si="3"/>
        <v>3.1153239317787063</v>
      </c>
      <c r="AH51" s="115">
        <f t="shared" si="3"/>
        <v>3.0337479183452145</v>
      </c>
      <c r="AI51" s="115">
        <f t="shared" si="3"/>
        <v>3.0271482542198238</v>
      </c>
    </row>
    <row r="52" spans="3:35" ht="18" hidden="1" customHeight="1" x14ac:dyDescent="0.3">
      <c r="C52" s="96">
        <v>3</v>
      </c>
      <c r="D52" s="112" t="s">
        <v>31</v>
      </c>
      <c r="E52" s="97">
        <f>(((384*$H$14*100000)/(5*$E28*E10))^(1/3))/100</f>
        <v>5.1996903162982973</v>
      </c>
      <c r="F52" s="6"/>
      <c r="G52" s="7"/>
      <c r="H52" s="7"/>
      <c r="P52" s="49" t="s">
        <v>41</v>
      </c>
    </row>
    <row r="53" spans="3:35" ht="18" hidden="1" customHeight="1" x14ac:dyDescent="0.3">
      <c r="C53" s="34"/>
      <c r="D53" s="106" t="s">
        <v>53</v>
      </c>
      <c r="E53" s="36"/>
      <c r="F53" s="6"/>
      <c r="G53" s="7"/>
      <c r="H53" s="7"/>
      <c r="P53" s="120" t="s">
        <v>34</v>
      </c>
      <c r="Q53" s="101">
        <v>45</v>
      </c>
      <c r="R53" s="53">
        <f t="shared" ref="R53:AA57" si="5">(((384*$H$14*100000)/(5*((((VLOOKUP(R$40,$I$7:$J$17,2))*$Q53)*R$39/2)+((($E$9*(1-0.088))+($E$19/$E$6))*((R$39/COS(R$40*PI()/180))/2))+$E$18)*$E$10))^(1/3))/100</f>
        <v>5.8361724006043119</v>
      </c>
      <c r="S53" s="60">
        <f t="shared" si="5"/>
        <v>5.8177256107627491</v>
      </c>
      <c r="T53" s="53">
        <f t="shared" si="5"/>
        <v>5.4814047172444953</v>
      </c>
      <c r="U53" s="54">
        <f t="shared" si="5"/>
        <v>5.4634661289144208</v>
      </c>
      <c r="V53" s="64">
        <f t="shared" si="5"/>
        <v>5.1996903162982973</v>
      </c>
      <c r="W53" s="60">
        <f t="shared" si="5"/>
        <v>5.1822625006303431</v>
      </c>
      <c r="X53" s="53">
        <f t="shared" si="5"/>
        <v>4.9682032428518257</v>
      </c>
      <c r="Y53" s="54">
        <f t="shared" si="5"/>
        <v>4.9512588548058716</v>
      </c>
      <c r="Z53" s="64">
        <f t="shared" si="5"/>
        <v>4.7731098584723215</v>
      </c>
      <c r="AA53" s="60">
        <f t="shared" si="5"/>
        <v>4.7566135633204407</v>
      </c>
      <c r="AB53" s="53">
        <f t="shared" ref="AB53:AI57" si="6">(((384*$H$14*100000)/(5*((((VLOOKUP(AB$40,$I$7:$J$17,2))*$Q53)*AB$39/2)+((($E$9*(1-0.088))+($E$19/$E$6))*((AB$39/COS(AB$40*PI()/180))/2))+$E$18)*$E$10))^(1/3))/100</f>
        <v>4.6054478084414194</v>
      </c>
      <c r="AC53" s="54">
        <f t="shared" si="6"/>
        <v>4.589363994443679</v>
      </c>
      <c r="AD53" s="64">
        <f t="shared" si="6"/>
        <v>4.4591081394391985</v>
      </c>
      <c r="AE53" s="60">
        <f t="shared" si="6"/>
        <v>4.4434035966161796</v>
      </c>
      <c r="AF53" s="53">
        <f t="shared" si="6"/>
        <v>4.3297568249111631</v>
      </c>
      <c r="AG53" s="54">
        <f t="shared" si="6"/>
        <v>4.3144015161042839</v>
      </c>
      <c r="AH53" s="64">
        <f t="shared" si="6"/>
        <v>4.2142178922597227</v>
      </c>
      <c r="AI53" s="54">
        <f t="shared" si="6"/>
        <v>4.1991849859502102</v>
      </c>
    </row>
    <row r="54" spans="3:35" ht="18" hidden="1" customHeight="1" x14ac:dyDescent="0.3">
      <c r="C54" s="34"/>
      <c r="D54" s="35"/>
      <c r="E54" s="36"/>
      <c r="F54" s="6"/>
      <c r="G54" s="7"/>
      <c r="H54" s="7"/>
      <c r="P54" s="121"/>
      <c r="Q54" s="102">
        <v>55</v>
      </c>
      <c r="R54" s="55">
        <f t="shared" si="5"/>
        <v>5.6259628543985363</v>
      </c>
      <c r="S54" s="61">
        <f t="shared" si="5"/>
        <v>5.6100231077891749</v>
      </c>
      <c r="T54" s="55">
        <f t="shared" si="5"/>
        <v>5.2774511312026213</v>
      </c>
      <c r="U54" s="56">
        <f t="shared" si="5"/>
        <v>5.2620262159685582</v>
      </c>
      <c r="V54" s="65">
        <f t="shared" si="5"/>
        <v>5.0018617216210322</v>
      </c>
      <c r="W54" s="61">
        <f t="shared" si="5"/>
        <v>4.9869276229890085</v>
      </c>
      <c r="X54" s="55">
        <f t="shared" si="5"/>
        <v>4.7760913833240508</v>
      </c>
      <c r="Y54" s="56">
        <f t="shared" si="5"/>
        <v>4.7616087033767398</v>
      </c>
      <c r="Z54" s="65">
        <f t="shared" si="5"/>
        <v>4.5862505108822473</v>
      </c>
      <c r="AA54" s="61">
        <f t="shared" si="5"/>
        <v>4.5721786956561088</v>
      </c>
      <c r="AB54" s="55">
        <f t="shared" si="6"/>
        <v>4.4233941787674658</v>
      </c>
      <c r="AC54" s="56">
        <f t="shared" si="6"/>
        <v>4.4096957981625868</v>
      </c>
      <c r="AD54" s="65">
        <f t="shared" si="6"/>
        <v>4.2814535210303815</v>
      </c>
      <c r="AE54" s="61">
        <f t="shared" si="6"/>
        <v>4.2680952935549996</v>
      </c>
      <c r="AF54" s="55">
        <f t="shared" si="6"/>
        <v>4.1561388650260724</v>
      </c>
      <c r="AG54" s="56">
        <f t="shared" si="6"/>
        <v>4.1430915848898469</v>
      </c>
      <c r="AH54" s="65">
        <f t="shared" si="6"/>
        <v>4.0443162426170103</v>
      </c>
      <c r="AI54" s="56">
        <f t="shared" si="6"/>
        <v>4.0315543636243536</v>
      </c>
    </row>
    <row r="55" spans="3:35" ht="18" hidden="1" customHeight="1" x14ac:dyDescent="0.3">
      <c r="C55" s="34"/>
      <c r="D55" s="35"/>
      <c r="E55" s="36"/>
      <c r="F55" s="6"/>
      <c r="G55" s="7"/>
      <c r="H55" s="7"/>
      <c r="P55" s="121"/>
      <c r="Q55" s="102">
        <v>65</v>
      </c>
      <c r="R55" s="55">
        <f t="shared" si="5"/>
        <v>5.4430999712122476</v>
      </c>
      <c r="S55" s="61">
        <f t="shared" si="5"/>
        <v>5.429126281042838</v>
      </c>
      <c r="T55" s="55">
        <f t="shared" si="5"/>
        <v>5.1008197245908802</v>
      </c>
      <c r="U55" s="56">
        <f t="shared" si="5"/>
        <v>5.0873508321505536</v>
      </c>
      <c r="V55" s="65">
        <f t="shared" si="5"/>
        <v>4.8310710941742396</v>
      </c>
      <c r="W55" s="61">
        <f t="shared" si="5"/>
        <v>4.818066934890938</v>
      </c>
      <c r="X55" s="55">
        <f t="shared" si="5"/>
        <v>4.6106212889800187</v>
      </c>
      <c r="Y55" s="56">
        <f t="shared" si="5"/>
        <v>4.5980360873423587</v>
      </c>
      <c r="Z55" s="65">
        <f t="shared" si="5"/>
        <v>4.4255927701445366</v>
      </c>
      <c r="AA55" s="61">
        <f t="shared" si="5"/>
        <v>4.4133839200016869</v>
      </c>
      <c r="AB55" s="55">
        <f t="shared" si="6"/>
        <v>4.2670910883363531</v>
      </c>
      <c r="AC55" s="56">
        <f t="shared" si="6"/>
        <v>4.2552211339969048</v>
      </c>
      <c r="AD55" s="65">
        <f t="shared" si="6"/>
        <v>4.1291039105751315</v>
      </c>
      <c r="AE55" s="61">
        <f t="shared" si="6"/>
        <v>4.1175405035713508</v>
      </c>
      <c r="AF55" s="55">
        <f t="shared" si="6"/>
        <v>4.0073940306477338</v>
      </c>
      <c r="AG55" s="56">
        <f t="shared" si="6"/>
        <v>3.996109333245176</v>
      </c>
      <c r="AH55" s="65">
        <f t="shared" si="6"/>
        <v>3.8988732476331078</v>
      </c>
      <c r="AI55" s="56">
        <f t="shared" si="6"/>
        <v>3.8878432510706107</v>
      </c>
    </row>
    <row r="56" spans="3:35" ht="18" hidden="1" customHeight="1" x14ac:dyDescent="0.3">
      <c r="C56" s="34"/>
      <c r="D56" s="35"/>
      <c r="E56" s="36"/>
      <c r="F56" s="6"/>
      <c r="G56" s="7"/>
      <c r="H56" s="7"/>
      <c r="P56" s="121"/>
      <c r="Q56" s="103">
        <v>90</v>
      </c>
      <c r="R56" s="57">
        <f t="shared" si="5"/>
        <v>5.0720178863617278</v>
      </c>
      <c r="S56" s="62">
        <f t="shared" si="5"/>
        <v>5.0614722158618859</v>
      </c>
      <c r="T56" s="57">
        <f t="shared" si="5"/>
        <v>4.7444221521711558</v>
      </c>
      <c r="U56" s="58">
        <f t="shared" si="5"/>
        <v>4.7343307212966632</v>
      </c>
      <c r="V56" s="66">
        <f t="shared" si="5"/>
        <v>4.4878279689092082</v>
      </c>
      <c r="W56" s="62">
        <f t="shared" si="5"/>
        <v>4.4781336646498078</v>
      </c>
      <c r="X56" s="57">
        <f t="shared" si="5"/>
        <v>4.2790459903165239</v>
      </c>
      <c r="Y56" s="58">
        <f t="shared" si="5"/>
        <v>4.269698709659357</v>
      </c>
      <c r="Z56" s="66">
        <f t="shared" si="5"/>
        <v>4.1043857533609573</v>
      </c>
      <c r="AA56" s="62">
        <f t="shared" si="5"/>
        <v>4.0953437240951924</v>
      </c>
      <c r="AB56" s="57">
        <f t="shared" si="6"/>
        <v>3.9551480881436021</v>
      </c>
      <c r="AC56" s="58">
        <f t="shared" si="6"/>
        <v>3.9463767883280703</v>
      </c>
      <c r="AD56" s="66">
        <f t="shared" si="6"/>
        <v>3.8254915694209393</v>
      </c>
      <c r="AE56" s="62">
        <f t="shared" si="6"/>
        <v>3.8169623537425621</v>
      </c>
      <c r="AF56" s="57">
        <f t="shared" si="6"/>
        <v>3.7113210857023207</v>
      </c>
      <c r="AG56" s="58">
        <f t="shared" si="6"/>
        <v>3.7030099887421328</v>
      </c>
      <c r="AH56" s="66">
        <f t="shared" si="6"/>
        <v>3.6096647806673392</v>
      </c>
      <c r="AI56" s="58">
        <f t="shared" si="6"/>
        <v>3.6015515635661632</v>
      </c>
    </row>
    <row r="57" spans="3:35" ht="18" hidden="1" customHeight="1" x14ac:dyDescent="0.25">
      <c r="C57" s="34"/>
      <c r="D57" s="34"/>
      <c r="E57" s="88"/>
      <c r="F57" s="8"/>
      <c r="G57" s="7"/>
      <c r="H57" s="7"/>
      <c r="P57" s="122"/>
      <c r="Q57" s="99">
        <v>140</v>
      </c>
      <c r="R57" s="100">
        <f t="shared" si="5"/>
        <v>4.5537185018726696</v>
      </c>
      <c r="S57" s="100">
        <f t="shared" si="5"/>
        <v>4.5468586538148097</v>
      </c>
      <c r="T57" s="100">
        <f t="shared" si="5"/>
        <v>4.2505754145142234</v>
      </c>
      <c r="U57" s="100">
        <f t="shared" si="5"/>
        <v>4.2440661940640112</v>
      </c>
      <c r="V57" s="100">
        <f t="shared" si="5"/>
        <v>4.0148193647004886</v>
      </c>
      <c r="W57" s="100">
        <f t="shared" si="5"/>
        <v>4.0086025419612792</v>
      </c>
      <c r="X57" s="100">
        <f t="shared" si="5"/>
        <v>3.8239566135524434</v>
      </c>
      <c r="Y57" s="100">
        <f t="shared" si="5"/>
        <v>3.8179877421158572</v>
      </c>
      <c r="Z57" s="100">
        <f t="shared" si="5"/>
        <v>3.664885256943363</v>
      </c>
      <c r="AA57" s="100">
        <f t="shared" si="5"/>
        <v>3.659129987839949</v>
      </c>
      <c r="AB57" s="100">
        <f t="shared" si="6"/>
        <v>3.529361870833216</v>
      </c>
      <c r="AC57" s="100">
        <f t="shared" si="6"/>
        <v>3.5237931568896221</v>
      </c>
      <c r="AD57" s="100">
        <f t="shared" si="6"/>
        <v>3.4118927106302896</v>
      </c>
      <c r="AE57" s="100">
        <f t="shared" si="6"/>
        <v>3.4064888532453654</v>
      </c>
      <c r="AF57" s="100">
        <f t="shared" si="6"/>
        <v>3.3086493440398903</v>
      </c>
      <c r="AG57" s="100">
        <f t="shared" si="6"/>
        <v>3.3033926371342175</v>
      </c>
      <c r="AH57" s="100">
        <f t="shared" si="6"/>
        <v>3.2168668801440079</v>
      </c>
      <c r="AI57" s="100">
        <f t="shared" si="6"/>
        <v>3.2117426561863205</v>
      </c>
    </row>
    <row r="58" spans="3:35" ht="18" customHeight="1" x14ac:dyDescent="0.3">
      <c r="C58" s="91">
        <v>4</v>
      </c>
      <c r="D58" s="119" t="s">
        <v>55</v>
      </c>
      <c r="E58" s="93">
        <f>1.2*((((384*$H$14*100000)/(5*$E30*E10))^(1/3))/100)</f>
        <v>5.9736574690209077</v>
      </c>
      <c r="P58" s="49" t="s">
        <v>42</v>
      </c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3:35" ht="18" customHeight="1" x14ac:dyDescent="0.25">
      <c r="P59" s="123" t="s">
        <v>34</v>
      </c>
      <c r="Q59" s="37">
        <v>45</v>
      </c>
      <c r="R59" s="113">
        <f>1.2*((((384*$H$14*100000)/(5*((((VLOOKUP(R$40,$I$7:$J$17,2))*$Q59)*R$39/2)+((($E$9*(1-0.088))+($E$21/$E$6))*((R$39/COS(R$40*PI()/180))/2))+$E$18)*$E$10))^(1/3))/100)</f>
        <v>6.7206489713968383</v>
      </c>
      <c r="S59" s="113">
        <f t="shared" ref="S59:AI63" si="7">1.2*((((384*$H$14*100000)/(5*((((VLOOKUP(S$40,$I$7:$J$17,2))*$Q59)*S$39/2)+((($E$9*(1-0.088))+($E$21/$E$6))*((S$39/COS(S$40*PI()/180))/2))+$E$18)*$E$10))^(1/3))/100)</f>
        <v>6.6938092741908068</v>
      </c>
      <c r="T59" s="113">
        <f t="shared" si="7"/>
        <v>6.3034233661484196</v>
      </c>
      <c r="U59" s="113">
        <f t="shared" si="7"/>
        <v>6.2774672178100648</v>
      </c>
      <c r="V59" s="113">
        <f t="shared" si="7"/>
        <v>5.9736574690209077</v>
      </c>
      <c r="W59" s="113">
        <f t="shared" si="7"/>
        <v>5.9485385629437371</v>
      </c>
      <c r="X59" s="113">
        <f t="shared" si="7"/>
        <v>5.7035983962588608</v>
      </c>
      <c r="Y59" s="113">
        <f t="shared" si="7"/>
        <v>5.6792469021742829</v>
      </c>
      <c r="Z59" s="113">
        <f t="shared" si="7"/>
        <v>5.4765766520447103</v>
      </c>
      <c r="AA59" s="113">
        <f t="shared" si="7"/>
        <v>5.4529220826596756</v>
      </c>
      <c r="AB59" s="113">
        <f t="shared" si="7"/>
        <v>5.2818644454795676</v>
      </c>
      <c r="AC59" s="113">
        <f t="shared" si="7"/>
        <v>5.2588423211624944</v>
      </c>
      <c r="AD59" s="113">
        <f t="shared" si="7"/>
        <v>5.1121871636938083</v>
      </c>
      <c r="AE59" s="113">
        <f t="shared" si="7"/>
        <v>5.0897404479788149</v>
      </c>
      <c r="AF59" s="113">
        <f t="shared" si="7"/>
        <v>4.9624050551529377</v>
      </c>
      <c r="AG59" s="113">
        <f t="shared" si="7"/>
        <v>4.9404838671689513</v>
      </c>
      <c r="AH59" s="113">
        <f t="shared" si="7"/>
        <v>4.8287643987745454</v>
      </c>
      <c r="AI59" s="113">
        <f t="shared" si="7"/>
        <v>4.8073252141341118</v>
      </c>
    </row>
    <row r="60" spans="3:35" ht="18" customHeight="1" x14ac:dyDescent="0.25">
      <c r="P60" s="124"/>
      <c r="Q60" s="38">
        <v>55</v>
      </c>
      <c r="R60" s="114">
        <f t="shared" ref="R60:AG63" si="8">1.2*((((384*$H$14*100000)/(5*((((VLOOKUP(R$40,$I$7:$J$17,2))*$Q60)*R$39/2)+((($E$9*(1-0.088))+($E$21/$E$6))*((R$39/COS(R$40*PI()/180))/2))+$E$18)*$E$10))^(1/3))/100)</f>
        <v>6.5049677941666539</v>
      </c>
      <c r="S60" s="114">
        <f t="shared" si="8"/>
        <v>6.4813936448994864</v>
      </c>
      <c r="T60" s="114">
        <f t="shared" si="8"/>
        <v>6.0952001689609165</v>
      </c>
      <c r="U60" s="114">
        <f t="shared" si="8"/>
        <v>6.0724895832033745</v>
      </c>
      <c r="V60" s="114">
        <f t="shared" si="8"/>
        <v>5.7723929706343791</v>
      </c>
      <c r="W60" s="114">
        <f t="shared" si="8"/>
        <v>5.7504740544196364</v>
      </c>
      <c r="X60" s="114">
        <f t="shared" si="8"/>
        <v>5.508656251685534</v>
      </c>
      <c r="Y60" s="114">
        <f t="shared" si="8"/>
        <v>5.4874492577249185</v>
      </c>
      <c r="Z60" s="114">
        <f t="shared" si="8"/>
        <v>5.2873432116969079</v>
      </c>
      <c r="AA60" s="114">
        <f t="shared" si="8"/>
        <v>5.2667746881564943</v>
      </c>
      <c r="AB60" s="114">
        <f t="shared" si="8"/>
        <v>5.0977904741347215</v>
      </c>
      <c r="AC60" s="114">
        <f t="shared" si="8"/>
        <v>5.0777962012164917</v>
      </c>
      <c r="AD60" s="114">
        <f t="shared" si="8"/>
        <v>4.9327930790622299</v>
      </c>
      <c r="AE60" s="114">
        <f t="shared" si="8"/>
        <v>4.9133177822332268</v>
      </c>
      <c r="AF60" s="114">
        <f t="shared" si="8"/>
        <v>4.7872750540713156</v>
      </c>
      <c r="AG60" s="114">
        <f t="shared" si="8"/>
        <v>4.7682712775920928</v>
      </c>
      <c r="AH60" s="114">
        <f t="shared" si="7"/>
        <v>4.6575379144913445</v>
      </c>
      <c r="AI60" s="114">
        <f t="shared" si="7"/>
        <v>4.6389648001015793</v>
      </c>
    </row>
    <row r="61" spans="3:35" ht="18" customHeight="1" x14ac:dyDescent="0.25">
      <c r="P61" s="124"/>
      <c r="Q61" s="38">
        <v>65</v>
      </c>
      <c r="R61" s="114">
        <f t="shared" si="8"/>
        <v>6.3145527497854905</v>
      </c>
      <c r="S61" s="114">
        <f t="shared" si="7"/>
        <v>6.2936071073154247</v>
      </c>
      <c r="T61" s="114">
        <f t="shared" si="7"/>
        <v>5.9120207770373847</v>
      </c>
      <c r="U61" s="114">
        <f t="shared" si="7"/>
        <v>5.8919065764545255</v>
      </c>
      <c r="V61" s="114">
        <f t="shared" si="7"/>
        <v>5.5957740881894251</v>
      </c>
      <c r="W61" s="114">
        <f t="shared" si="7"/>
        <v>5.5764041078899522</v>
      </c>
      <c r="X61" s="114">
        <f t="shared" si="7"/>
        <v>5.3378986505738313</v>
      </c>
      <c r="Y61" s="114">
        <f t="shared" si="7"/>
        <v>5.3191884474435325</v>
      </c>
      <c r="Z61" s="114">
        <f t="shared" si="7"/>
        <v>5.1218193506814451</v>
      </c>
      <c r="AA61" s="114">
        <f t="shared" si="7"/>
        <v>5.1036952280523948</v>
      </c>
      <c r="AB61" s="114">
        <f t="shared" si="7"/>
        <v>4.9369592606744188</v>
      </c>
      <c r="AC61" s="114">
        <f t="shared" si="7"/>
        <v>4.9193586567341434</v>
      </c>
      <c r="AD61" s="114">
        <f t="shared" si="7"/>
        <v>4.7761928528882009</v>
      </c>
      <c r="AE61" s="114">
        <f t="shared" si="7"/>
        <v>4.7590629231954136</v>
      </c>
      <c r="AF61" s="114">
        <f t="shared" si="7"/>
        <v>4.634511856415255</v>
      </c>
      <c r="AG61" s="114">
        <f t="shared" si="7"/>
        <v>4.6178078230156974</v>
      </c>
      <c r="AH61" s="114">
        <f t="shared" si="7"/>
        <v>4.5082740690597474</v>
      </c>
      <c r="AI61" s="114">
        <f t="shared" si="7"/>
        <v>4.4919577520195659</v>
      </c>
    </row>
    <row r="62" spans="3:35" ht="18" customHeight="1" x14ac:dyDescent="0.25">
      <c r="P62" s="124"/>
      <c r="Q62" s="38">
        <v>90</v>
      </c>
      <c r="R62" s="114">
        <f t="shared" si="8"/>
        <v>5.9206275530087131</v>
      </c>
      <c r="S62" s="114">
        <f t="shared" si="7"/>
        <v>5.9044206580960275</v>
      </c>
      <c r="T62" s="114">
        <f t="shared" si="7"/>
        <v>5.5348345791674634</v>
      </c>
      <c r="U62" s="114">
        <f t="shared" si="7"/>
        <v>5.519363981990562</v>
      </c>
      <c r="V62" s="114">
        <f t="shared" si="7"/>
        <v>5.2332777567118915</v>
      </c>
      <c r="W62" s="114">
        <f t="shared" si="7"/>
        <v>5.218441302963857</v>
      </c>
      <c r="X62" s="114">
        <f t="shared" si="7"/>
        <v>4.9882692674149052</v>
      </c>
      <c r="Y62" s="114">
        <f t="shared" si="7"/>
        <v>4.9739817802520099</v>
      </c>
      <c r="Z62" s="114">
        <f t="shared" si="7"/>
        <v>4.783526553216336</v>
      </c>
      <c r="AA62" s="114">
        <f t="shared" si="7"/>
        <v>4.7697188462351559</v>
      </c>
      <c r="AB62" s="114">
        <f t="shared" si="7"/>
        <v>4.6087329874962633</v>
      </c>
      <c r="AC62" s="114">
        <f t="shared" si="7"/>
        <v>4.5953487945809259</v>
      </c>
      <c r="AD62" s="114">
        <f t="shared" si="7"/>
        <v>4.4569762422473387</v>
      </c>
      <c r="AE62" s="114">
        <f t="shared" si="7"/>
        <v>4.4439693852620037</v>
      </c>
      <c r="AF62" s="114">
        <f t="shared" si="7"/>
        <v>4.3234188816810475</v>
      </c>
      <c r="AG62" s="114">
        <f t="shared" si="7"/>
        <v>4.3107510350320206</v>
      </c>
      <c r="AH62" s="114">
        <f t="shared" si="7"/>
        <v>4.2045552997624869</v>
      </c>
      <c r="AI62" s="114">
        <f t="shared" si="7"/>
        <v>4.1921942948049722</v>
      </c>
    </row>
    <row r="63" spans="3:35" ht="18" customHeight="1" x14ac:dyDescent="0.3">
      <c r="C63" s="34"/>
      <c r="D63" s="34"/>
      <c r="E63" s="89"/>
      <c r="P63" s="125"/>
      <c r="Q63" s="111">
        <v>140</v>
      </c>
      <c r="R63" s="115">
        <f t="shared" si="8"/>
        <v>5.3551186053429065</v>
      </c>
      <c r="S63" s="115">
        <f t="shared" si="7"/>
        <v>5.344256275635292</v>
      </c>
      <c r="T63" s="115">
        <f t="shared" si="7"/>
        <v>4.9969986033015221</v>
      </c>
      <c r="U63" s="115">
        <f t="shared" si="7"/>
        <v>4.9867050326029698</v>
      </c>
      <c r="V63" s="115">
        <f t="shared" si="7"/>
        <v>4.7187903050245383</v>
      </c>
      <c r="W63" s="115">
        <f t="shared" si="7"/>
        <v>4.7089679800222868</v>
      </c>
      <c r="X63" s="115">
        <f t="shared" si="7"/>
        <v>4.4937319118748107</v>
      </c>
      <c r="Y63" s="115">
        <f t="shared" si="7"/>
        <v>4.4843075198574489</v>
      </c>
      <c r="Z63" s="115">
        <f t="shared" si="7"/>
        <v>4.3062675536178183</v>
      </c>
      <c r="AA63" s="115">
        <f t="shared" si="7"/>
        <v>4.2971849512861047</v>
      </c>
      <c r="AB63" s="115">
        <f t="shared" si="7"/>
        <v>4.1466244878322502</v>
      </c>
      <c r="AC63" s="115">
        <f t="shared" si="7"/>
        <v>4.1378397368962387</v>
      </c>
      <c r="AD63" s="115">
        <f t="shared" si="7"/>
        <v>4.0082972141899624</v>
      </c>
      <c r="AE63" s="115">
        <f t="shared" si="7"/>
        <v>3.9997752207484516</v>
      </c>
      <c r="AF63" s="115">
        <f t="shared" si="7"/>
        <v>3.886756324622866</v>
      </c>
      <c r="AG63" s="115">
        <f t="shared" si="7"/>
        <v>3.8784685477979437</v>
      </c>
      <c r="AH63" s="115">
        <f t="shared" si="7"/>
        <v>3.7787330725808452</v>
      </c>
      <c r="AI63" s="115">
        <f t="shared" si="7"/>
        <v>3.7706559314796184</v>
      </c>
    </row>
    <row r="64" spans="3:35" ht="18" hidden="1" customHeight="1" x14ac:dyDescent="0.3">
      <c r="C64" s="90">
        <v>5</v>
      </c>
      <c r="D64" s="105" t="s">
        <v>31</v>
      </c>
      <c r="E64" s="94">
        <f>(((384*$H$15*100000)/(5*$E32*E10))^(1/3))/100</f>
        <v>5.7927384505801429</v>
      </c>
      <c r="P64" s="49" t="s">
        <v>43</v>
      </c>
    </row>
    <row r="65" spans="3:35" ht="18" hidden="1" customHeight="1" x14ac:dyDescent="0.25">
      <c r="C65" s="34"/>
      <c r="D65" s="106" t="s">
        <v>53</v>
      </c>
      <c r="P65" s="120" t="s">
        <v>34</v>
      </c>
      <c r="Q65" s="101">
        <v>45</v>
      </c>
      <c r="R65" s="53">
        <f t="shared" ref="R65:AI65" si="9">(((384*$H$15*100000)/(5*((((VLOOKUP(R$40,$I$7:$J$17,2))*$Q53)*R$39/2)+((($E$9*(1-0.088))+($E$19/$E$6))*((R$39/COS(R$40*PI()/180))/2))+($E$16+(2*$E$17)))*$E$10))^(1/3))/100</f>
        <v>6.4375986356109953</v>
      </c>
      <c r="S65" s="60">
        <f t="shared" si="9"/>
        <v>6.4192781681421112</v>
      </c>
      <c r="T65" s="53">
        <f t="shared" si="9"/>
        <v>6.0813083815985873</v>
      </c>
      <c r="U65" s="54">
        <f t="shared" si="9"/>
        <v>6.0630775469927656</v>
      </c>
      <c r="V65" s="64">
        <f t="shared" si="9"/>
        <v>5.7927384505801429</v>
      </c>
      <c r="W65" s="60">
        <f t="shared" si="9"/>
        <v>5.7747315552599119</v>
      </c>
      <c r="X65" s="53">
        <f t="shared" si="9"/>
        <v>5.5521570073408295</v>
      </c>
      <c r="Y65" s="54">
        <f t="shared" si="9"/>
        <v>5.5344304882147357</v>
      </c>
      <c r="Z65" s="64">
        <f t="shared" si="9"/>
        <v>5.3471386677411319</v>
      </c>
      <c r="AA65" s="60">
        <f t="shared" si="9"/>
        <v>5.329712716659003</v>
      </c>
      <c r="AB65" s="53">
        <f t="shared" si="9"/>
        <v>5.1693972898534817</v>
      </c>
      <c r="AC65" s="54">
        <f t="shared" si="9"/>
        <v>5.152274431501854</v>
      </c>
      <c r="AD65" s="64">
        <f t="shared" si="9"/>
        <v>5.013155542736337</v>
      </c>
      <c r="AE65" s="60">
        <f t="shared" si="9"/>
        <v>4.9963295603945586</v>
      </c>
      <c r="AF65" s="53">
        <f t="shared" si="9"/>
        <v>4.8742393113026852</v>
      </c>
      <c r="AG65" s="54">
        <f t="shared" si="9"/>
        <v>4.8576997647367719</v>
      </c>
      <c r="AH65" s="64">
        <f t="shared" si="9"/>
        <v>4.7495436091870049</v>
      </c>
      <c r="AI65" s="54">
        <f t="shared" si="9"/>
        <v>4.7332782028866518</v>
      </c>
    </row>
    <row r="66" spans="3:35" ht="18" hidden="1" customHeight="1" x14ac:dyDescent="0.25">
      <c r="C66" s="34"/>
      <c r="D66" s="35"/>
      <c r="P66" s="121"/>
      <c r="Q66" s="102">
        <v>55</v>
      </c>
      <c r="R66" s="55">
        <f t="shared" ref="R66:AI66" si="10">(((384*$H$15*100000)/(5*((((VLOOKUP(R$40,$I$7:$J$17,2))*$Q54)*R$39/2)+((($E$9*(1-0.088))+($E$19/$E$6))*((R$39/COS(R$40*PI()/180))/2))+($E$16+(2*$E$17)))*$E$10))^(1/3))/100</f>
        <v>6.2274782956850778</v>
      </c>
      <c r="S66" s="61">
        <f t="shared" si="10"/>
        <v>6.2114264962448145</v>
      </c>
      <c r="T66" s="55">
        <f t="shared" si="10"/>
        <v>5.8728671629249165</v>
      </c>
      <c r="U66" s="56">
        <f t="shared" si="10"/>
        <v>5.8570007987300077</v>
      </c>
      <c r="V66" s="65">
        <f t="shared" si="10"/>
        <v>5.5873229492423624</v>
      </c>
      <c r="W66" s="61">
        <f t="shared" si="10"/>
        <v>5.57172760474998</v>
      </c>
      <c r="X66" s="55">
        <f t="shared" si="10"/>
        <v>5.3502867445495257</v>
      </c>
      <c r="Y66" s="56">
        <f t="shared" si="10"/>
        <v>5.3349908150175311</v>
      </c>
      <c r="Z66" s="65">
        <f t="shared" si="10"/>
        <v>5.148958383924759</v>
      </c>
      <c r="AA66" s="61">
        <f t="shared" si="10"/>
        <v>5.1339653014662936</v>
      </c>
      <c r="AB66" s="55">
        <f t="shared" si="10"/>
        <v>4.9748751577861965</v>
      </c>
      <c r="AC66" s="56">
        <f t="shared" si="10"/>
        <v>4.9601771813143083</v>
      </c>
      <c r="AD66" s="65">
        <f t="shared" si="10"/>
        <v>4.8221765990986407</v>
      </c>
      <c r="AE66" s="61">
        <f t="shared" si="10"/>
        <v>4.8077611477792068</v>
      </c>
      <c r="AF66" s="55">
        <f t="shared" si="10"/>
        <v>4.6866517364748441</v>
      </c>
      <c r="AG66" s="56">
        <f t="shared" si="10"/>
        <v>4.672504431272694</v>
      </c>
      <c r="AH66" s="65">
        <f t="shared" si="10"/>
        <v>4.5651823533247402</v>
      </c>
      <c r="AI66" s="56">
        <f t="shared" si="10"/>
        <v>4.5512885084468762</v>
      </c>
    </row>
    <row r="67" spans="3:35" ht="18" hidden="1" customHeight="1" x14ac:dyDescent="0.25">
      <c r="C67" s="34"/>
      <c r="D67" s="35"/>
      <c r="P67" s="121"/>
      <c r="Q67" s="102">
        <v>65</v>
      </c>
      <c r="R67" s="55">
        <f t="shared" ref="R67:AI67" si="11">(((384*$H$15*100000)/(5*((((VLOOKUP(R$40,$I$7:$J$17,2))*$Q55)*R$39/2)+((($E$9*(1-0.088))+($E$19/$E$6))*((R$39/COS(R$40*PI()/180))/2))+($E$16+(2*$E$17)))*$E$10))^(1/3))/100</f>
        <v>6.0423552906943305</v>
      </c>
      <c r="S67" s="61">
        <f t="shared" si="11"/>
        <v>6.0281223913709248</v>
      </c>
      <c r="T67" s="55">
        <f t="shared" si="11"/>
        <v>5.6903517395030168</v>
      </c>
      <c r="U67" s="56">
        <f t="shared" si="11"/>
        <v>5.6763608638076963</v>
      </c>
      <c r="V67" s="65">
        <f t="shared" si="11"/>
        <v>5.4082561845251815</v>
      </c>
      <c r="W67" s="61">
        <f t="shared" si="11"/>
        <v>5.3945589067803699</v>
      </c>
      <c r="X67" s="55">
        <f t="shared" si="11"/>
        <v>5.1749023533402685</v>
      </c>
      <c r="Y67" s="56">
        <f t="shared" si="11"/>
        <v>5.1615082946493782</v>
      </c>
      <c r="Z67" s="65">
        <f t="shared" si="11"/>
        <v>4.9772334016593085</v>
      </c>
      <c r="AA67" s="61">
        <f t="shared" si="11"/>
        <v>4.9641352576783948</v>
      </c>
      <c r="AB67" s="55">
        <f t="shared" si="11"/>
        <v>4.806677160731347</v>
      </c>
      <c r="AC67" s="56">
        <f t="shared" si="11"/>
        <v>4.7938609452149921</v>
      </c>
      <c r="AD67" s="65">
        <f t="shared" si="11"/>
        <v>4.657329862071288</v>
      </c>
      <c r="AE67" s="61">
        <f t="shared" si="11"/>
        <v>4.6447793722880997</v>
      </c>
      <c r="AF67" s="55">
        <f t="shared" si="11"/>
        <v>4.5249681431650028</v>
      </c>
      <c r="AG67" s="56">
        <f t="shared" si="11"/>
        <v>4.5126669628812657</v>
      </c>
      <c r="AH67" s="65">
        <f t="shared" si="11"/>
        <v>4.4064759820448014</v>
      </c>
      <c r="AI67" s="56">
        <f t="shared" si="11"/>
        <v>4.3944083697101215</v>
      </c>
    </row>
    <row r="68" spans="3:35" ht="18" hidden="1" customHeight="1" x14ac:dyDescent="0.25">
      <c r="C68" s="34"/>
      <c r="D68" s="35"/>
      <c r="P68" s="121"/>
      <c r="Q68" s="103">
        <v>90</v>
      </c>
      <c r="R68" s="57">
        <f t="shared" ref="R68:AI68" si="12">(((384*$H$15*100000)/(5*((((VLOOKUP(R$40,$I$7:$J$17,2))*$Q56)*R$39/2)+((($E$9*(1-0.088))+($E$19/$E$6))*((R$39/COS(R$40*PI()/180))/2))+($E$16+(2*$E$17)))*$E$10))^(1/3))/100</f>
        <v>5.6604213034521456</v>
      </c>
      <c r="S68" s="62">
        <f t="shared" si="12"/>
        <v>5.6494507895513459</v>
      </c>
      <c r="T68" s="57">
        <f t="shared" si="12"/>
        <v>5.3168254124998429</v>
      </c>
      <c r="U68" s="58">
        <f t="shared" si="12"/>
        <v>5.3061522973954887</v>
      </c>
      <c r="V68" s="66">
        <f t="shared" si="12"/>
        <v>5.0438971658863032</v>
      </c>
      <c r="W68" s="62">
        <f t="shared" si="12"/>
        <v>5.0335246279487027</v>
      </c>
      <c r="X68" s="57">
        <f t="shared" si="12"/>
        <v>4.8195790851140234</v>
      </c>
      <c r="Y68" s="58">
        <f t="shared" si="12"/>
        <v>4.8094918633834292</v>
      </c>
      <c r="Z68" s="66">
        <f t="shared" si="12"/>
        <v>4.6304952466075946</v>
      </c>
      <c r="AA68" s="62">
        <f t="shared" si="12"/>
        <v>4.6206729682915393</v>
      </c>
      <c r="AB68" s="57">
        <f t="shared" si="12"/>
        <v>4.4679759536693897</v>
      </c>
      <c r="AC68" s="58">
        <f t="shared" si="12"/>
        <v>4.4583978685167933</v>
      </c>
      <c r="AD68" s="66">
        <f t="shared" si="12"/>
        <v>4.3261096814565585</v>
      </c>
      <c r="AE68" s="62">
        <f t="shared" si="12"/>
        <v>4.316756335543233</v>
      </c>
      <c r="AF68" s="57">
        <f t="shared" si="12"/>
        <v>4.2007013042056514</v>
      </c>
      <c r="AG68" s="58">
        <f t="shared" si="12"/>
        <v>4.1915550451027483</v>
      </c>
      <c r="AH68" s="66">
        <f t="shared" si="12"/>
        <v>4.0886759363350098</v>
      </c>
      <c r="AI68" s="58">
        <f t="shared" si="12"/>
        <v>4.0797209608306977</v>
      </c>
    </row>
    <row r="69" spans="3:35" ht="18" hidden="1" customHeight="1" x14ac:dyDescent="0.25">
      <c r="C69" s="34"/>
      <c r="D69" s="34"/>
      <c r="E69" s="95"/>
      <c r="P69" s="122"/>
      <c r="Q69" s="99">
        <v>140</v>
      </c>
    </row>
    <row r="70" spans="3:35" ht="18" customHeight="1" x14ac:dyDescent="0.3">
      <c r="C70" s="91">
        <v>6</v>
      </c>
      <c r="D70" s="119" t="s">
        <v>56</v>
      </c>
      <c r="E70" s="94">
        <f>1.2*((((384*$H$15*100000)/(5*$E34*E10))^(1/3))/100)</f>
        <v>6.6749387284798054</v>
      </c>
      <c r="P70" s="49" t="s">
        <v>44</v>
      </c>
      <c r="Q70" s="3"/>
    </row>
    <row r="71" spans="3:35" ht="18" customHeight="1" x14ac:dyDescent="0.25">
      <c r="P71" s="123" t="s">
        <v>34</v>
      </c>
      <c r="Q71" s="37">
        <v>45</v>
      </c>
      <c r="R71" s="113">
        <f>1.2*((((384*$H$15*100000)/(5*((((VLOOKUP(R$40,$I$7:$J$17,2))*$Q59)*R$39/2)+((($E$9*(1-0.088))+($E$21/$E$6))*((R$39/COS(R$40*PI()/180))/2))+($E$16+(2*$E$17)))*$E$10))^(1/3))/100)</f>
        <v>7.4422436903776141</v>
      </c>
      <c r="S71" s="113">
        <f t="shared" ref="S71:AI75" si="13">1.2*((((384*$H$15*100000)/(5*((((VLOOKUP(S$40,$I$7:$J$17,2))*$Q59)*S$39/2)+((($E$9*(1-0.088))+($E$21/$E$6))*((S$39/COS(S$40*PI()/180))/2))+($E$16+(2*$E$17)))*$E$10))^(1/3))/100)</f>
        <v>7.4151657022123523</v>
      </c>
      <c r="T71" s="113">
        <f t="shared" si="13"/>
        <v>7.017069825572591</v>
      </c>
      <c r="U71" s="113">
        <f t="shared" si="13"/>
        <v>6.9903284656939046</v>
      </c>
      <c r="V71" s="113">
        <f t="shared" si="13"/>
        <v>6.6749387284798054</v>
      </c>
      <c r="W71" s="113">
        <f t="shared" si="13"/>
        <v>6.6486710260097981</v>
      </c>
      <c r="X71" s="113">
        <f t="shared" si="13"/>
        <v>6.3910707098114141</v>
      </c>
      <c r="Y71" s="113">
        <f t="shared" si="13"/>
        <v>6.3653198214240101</v>
      </c>
      <c r="Z71" s="113">
        <f t="shared" si="13"/>
        <v>6.1500580757849939</v>
      </c>
      <c r="AA71" s="113">
        <f t="shared" si="13"/>
        <v>6.124826614455805</v>
      </c>
      <c r="AB71" s="113">
        <f t="shared" si="13"/>
        <v>5.9417243686730208</v>
      </c>
      <c r="AC71" s="113">
        <f t="shared" si="13"/>
        <v>5.9169970778644068</v>
      </c>
      <c r="AD71" s="113">
        <f t="shared" si="13"/>
        <v>5.7590278819977989</v>
      </c>
      <c r="AE71" s="113">
        <f t="shared" si="13"/>
        <v>5.7347819746708319</v>
      </c>
      <c r="AF71" s="113">
        <f t="shared" si="13"/>
        <v>5.5969120874552249</v>
      </c>
      <c r="AG71" s="113">
        <f t="shared" si="13"/>
        <v>5.5731221671064546</v>
      </c>
      <c r="AH71" s="113">
        <f t="shared" si="13"/>
        <v>5.4516345929067516</v>
      </c>
      <c r="AI71" s="113">
        <f t="shared" si="13"/>
        <v>5.4282750373969071</v>
      </c>
    </row>
    <row r="72" spans="3:35" ht="18" customHeight="1" x14ac:dyDescent="0.25">
      <c r="P72" s="124"/>
      <c r="Q72" s="38">
        <v>55</v>
      </c>
      <c r="R72" s="114">
        <f t="shared" ref="R72:AG75" si="14">1.2*((((384*$H$15*100000)/(5*((((VLOOKUP(R$40,$I$7:$J$17,2))*$Q60)*R$39/2)+((($E$9*(1-0.088))+($E$21/$E$6))*((R$39/COS(R$40*PI()/180))/2))+($E$16+(2*$E$17)))*$E$10))^(1/3))/100)</f>
        <v>7.2235710531066015</v>
      </c>
      <c r="S72" s="114">
        <f t="shared" si="14"/>
        <v>7.1995230750024088</v>
      </c>
      <c r="T72" s="114">
        <f t="shared" si="14"/>
        <v>6.8016335502847438</v>
      </c>
      <c r="U72" s="114">
        <f t="shared" si="14"/>
        <v>6.7780120100456509</v>
      </c>
      <c r="V72" s="114">
        <f t="shared" si="14"/>
        <v>6.4636833523763118</v>
      </c>
      <c r="W72" s="114">
        <f t="shared" si="14"/>
        <v>6.4405697865451659</v>
      </c>
      <c r="X72" s="114">
        <f t="shared" si="14"/>
        <v>6.1842409811094177</v>
      </c>
      <c r="Y72" s="114">
        <f t="shared" si="14"/>
        <v>6.1616481047498475</v>
      </c>
      <c r="Z72" s="114">
        <f t="shared" si="14"/>
        <v>5.9476060386470602</v>
      </c>
      <c r="AA72" s="114">
        <f t="shared" si="14"/>
        <v>5.9255191765896296</v>
      </c>
      <c r="AB72" s="114">
        <f t="shared" si="14"/>
        <v>5.7434792658394018</v>
      </c>
      <c r="AC72" s="114">
        <f t="shared" si="14"/>
        <v>5.7218731918974246</v>
      </c>
      <c r="AD72" s="114">
        <f t="shared" si="14"/>
        <v>5.5647719846557173</v>
      </c>
      <c r="AE72" s="114">
        <f t="shared" si="14"/>
        <v>5.5436181987869633</v>
      </c>
      <c r="AF72" s="114">
        <f t="shared" si="14"/>
        <v>5.4064158098338924</v>
      </c>
      <c r="AG72" s="114">
        <f t="shared" si="14"/>
        <v>5.3856857626766574</v>
      </c>
      <c r="AH72" s="114">
        <f t="shared" si="13"/>
        <v>5.2646728469617239</v>
      </c>
      <c r="AI72" s="114">
        <f t="shared" si="13"/>
        <v>5.2443393413910409</v>
      </c>
    </row>
    <row r="73" spans="3:35" ht="18" customHeight="1" x14ac:dyDescent="0.25">
      <c r="P73" s="124"/>
      <c r="Q73" s="38">
        <v>65</v>
      </c>
      <c r="R73" s="114">
        <f t="shared" si="14"/>
        <v>7.0285257752798351</v>
      </c>
      <c r="S73" s="114">
        <f t="shared" si="13"/>
        <v>7.0069604865499215</v>
      </c>
      <c r="T73" s="114">
        <f t="shared" si="13"/>
        <v>6.6104325933576327</v>
      </c>
      <c r="U73" s="114">
        <f t="shared" si="13"/>
        <v>6.5893452607323351</v>
      </c>
      <c r="V73" s="114">
        <f t="shared" si="13"/>
        <v>6.2768631956367269</v>
      </c>
      <c r="W73" s="114">
        <f t="shared" si="13"/>
        <v>6.2562958425383739</v>
      </c>
      <c r="X73" s="114">
        <f t="shared" si="13"/>
        <v>6.0018264311395555</v>
      </c>
      <c r="Y73" s="114">
        <f t="shared" si="13"/>
        <v>5.9817710148069363</v>
      </c>
      <c r="Z73" s="114">
        <f t="shared" si="13"/>
        <v>5.7694267152170227</v>
      </c>
      <c r="AA73" s="114">
        <f t="shared" si="13"/>
        <v>5.7498573557006836</v>
      </c>
      <c r="AB73" s="114">
        <f t="shared" si="13"/>
        <v>5.5692956096631487</v>
      </c>
      <c r="AC73" s="114">
        <f t="shared" si="13"/>
        <v>5.5501810424033948</v>
      </c>
      <c r="AD73" s="114">
        <f t="shared" si="13"/>
        <v>5.3943282890656095</v>
      </c>
      <c r="AE73" s="114">
        <f t="shared" si="13"/>
        <v>5.375636895296295</v>
      </c>
      <c r="AF73" s="114">
        <f t="shared" si="13"/>
        <v>5.2394628198812443</v>
      </c>
      <c r="AG73" s="114">
        <f t="shared" si="13"/>
        <v>5.2211646335160804</v>
      </c>
      <c r="AH73" s="114">
        <f t="shared" si="13"/>
        <v>5.1009769313232214</v>
      </c>
      <c r="AI73" s="114">
        <f t="shared" si="13"/>
        <v>5.0830443503770599</v>
      </c>
    </row>
    <row r="74" spans="3:35" ht="18" customHeight="1" x14ac:dyDescent="0.25">
      <c r="P74" s="124"/>
      <c r="Q74" s="38">
        <v>90</v>
      </c>
      <c r="R74" s="114">
        <f t="shared" si="14"/>
        <v>6.6194502717933199</v>
      </c>
      <c r="S74" s="114">
        <f t="shared" si="13"/>
        <v>6.6024668897205707</v>
      </c>
      <c r="T74" s="114">
        <f t="shared" si="13"/>
        <v>6.2121054015347354</v>
      </c>
      <c r="U74" s="114">
        <f t="shared" si="13"/>
        <v>6.19564167915523</v>
      </c>
      <c r="V74" s="114">
        <f t="shared" si="13"/>
        <v>5.8895161897476038</v>
      </c>
      <c r="W74" s="114">
        <f t="shared" si="13"/>
        <v>5.873556642044675</v>
      </c>
      <c r="X74" s="114">
        <f t="shared" si="13"/>
        <v>5.6249605636614968</v>
      </c>
      <c r="Y74" s="114">
        <f t="shared" si="13"/>
        <v>5.60946924889714</v>
      </c>
      <c r="Z74" s="114">
        <f t="shared" si="13"/>
        <v>5.4023276938995997</v>
      </c>
      <c r="AA74" s="114">
        <f t="shared" si="13"/>
        <v>5.3872652218945145</v>
      </c>
      <c r="AB74" s="114">
        <f t="shared" si="13"/>
        <v>5.2112203014480984</v>
      </c>
      <c r="AC74" s="114">
        <f t="shared" si="13"/>
        <v>5.196549320120079</v>
      </c>
      <c r="AD74" s="114">
        <f t="shared" si="13"/>
        <v>5.0445726289262369</v>
      </c>
      <c r="AE74" s="114">
        <f t="shared" si="13"/>
        <v>5.0302594141909101</v>
      </c>
      <c r="AF74" s="114">
        <f t="shared" si="13"/>
        <v>4.8973838662036266</v>
      </c>
      <c r="AG74" s="114">
        <f t="shared" si="13"/>
        <v>4.8833985283671399</v>
      </c>
      <c r="AH74" s="114">
        <f t="shared" si="13"/>
        <v>4.7659966136345799</v>
      </c>
      <c r="AI74" s="114">
        <f t="shared" si="13"/>
        <v>4.7523128242300716</v>
      </c>
    </row>
    <row r="75" spans="3:35" ht="18" customHeight="1" x14ac:dyDescent="0.25">
      <c r="P75" s="125"/>
      <c r="Q75" s="111">
        <v>140</v>
      </c>
      <c r="R75" s="115">
        <f t="shared" si="14"/>
        <v>6.0202727834261172</v>
      </c>
      <c r="S75" s="115">
        <f t="shared" si="13"/>
        <v>6.0086381494912304</v>
      </c>
      <c r="T75" s="115">
        <f t="shared" si="13"/>
        <v>5.6344220355225785</v>
      </c>
      <c r="U75" s="115">
        <f t="shared" si="13"/>
        <v>5.6232648643657912</v>
      </c>
      <c r="V75" s="115">
        <f t="shared" si="13"/>
        <v>5.3316575628055967</v>
      </c>
      <c r="W75" s="115">
        <f t="shared" si="13"/>
        <v>5.3209236504310882</v>
      </c>
      <c r="X75" s="115">
        <f t="shared" si="13"/>
        <v>5.0849946165266324</v>
      </c>
      <c r="Y75" s="115">
        <f t="shared" si="13"/>
        <v>5.0746337359083453</v>
      </c>
      <c r="Z75" s="115">
        <f t="shared" si="13"/>
        <v>4.8784477541742284</v>
      </c>
      <c r="AA75" s="115">
        <f t="shared" si="13"/>
        <v>4.8684169200483884</v>
      </c>
      <c r="AB75" s="115">
        <f t="shared" si="13"/>
        <v>4.701834098633304</v>
      </c>
      <c r="AC75" s="115">
        <f t="shared" si="13"/>
        <v>4.6920972296101029</v>
      </c>
      <c r="AD75" s="115">
        <f t="shared" si="13"/>
        <v>4.5483027799943239</v>
      </c>
      <c r="AE75" s="115">
        <f t="shared" si="13"/>
        <v>4.5388296237517025</v>
      </c>
      <c r="AF75" s="115">
        <f t="shared" si="13"/>
        <v>4.4130436966151043</v>
      </c>
      <c r="AG75" s="115">
        <f t="shared" si="13"/>
        <v>4.4038087532093799</v>
      </c>
      <c r="AH75" s="115">
        <f t="shared" si="13"/>
        <v>4.2925617909347915</v>
      </c>
      <c r="AI75" s="115">
        <f t="shared" si="13"/>
        <v>4.2835434034232742</v>
      </c>
    </row>
    <row r="76" spans="3:35" ht="18" customHeight="1" x14ac:dyDescent="0.25"/>
    <row r="77" spans="3:35" ht="18" customHeight="1" x14ac:dyDescent="0.25"/>
    <row r="78" spans="3:35" ht="18" customHeight="1" x14ac:dyDescent="0.25"/>
    <row r="79" spans="3:35" ht="18" customHeight="1" x14ac:dyDescent="0.25"/>
    <row r="80" spans="3:35" ht="18" customHeight="1" x14ac:dyDescent="0.25"/>
    <row r="81" ht="18" customHeight="1" x14ac:dyDescent="0.25"/>
    <row r="82" ht="18" customHeight="1" x14ac:dyDescent="0.25"/>
    <row r="83" ht="18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</sheetData>
  <sheetProtection algorithmName="SHA-512" hashValue="J3cC6Z3lyf6zitfdNtzL2qhYr15yKcXV3KjFRPINYQDEgaKwlWd5ma1TOLcHBpmxeNhG3L3/Zr41GXS2E6lxXg==" saltValue="lIDJilcJrHnAQuaPn7iJgA==" spinCount="100000" sheet="1" objects="1" scenarios="1"/>
  <mergeCells count="20">
    <mergeCell ref="C33:C34"/>
    <mergeCell ref="P41:P45"/>
    <mergeCell ref="P39:Q39"/>
    <mergeCell ref="I22:K22"/>
    <mergeCell ref="B1:E1"/>
    <mergeCell ref="C23:C24"/>
    <mergeCell ref="B2:E2"/>
    <mergeCell ref="I4:K4"/>
    <mergeCell ref="I21:K21"/>
    <mergeCell ref="C25:C26"/>
    <mergeCell ref="D38:E38"/>
    <mergeCell ref="C27:C28"/>
    <mergeCell ref="C29:C30"/>
    <mergeCell ref="C37:D37"/>
    <mergeCell ref="C31:C32"/>
    <mergeCell ref="P47:P51"/>
    <mergeCell ref="P53:P57"/>
    <mergeCell ref="P59:P63"/>
    <mergeCell ref="P65:P69"/>
    <mergeCell ref="P71:P75"/>
  </mergeCells>
  <phoneticPr fontId="2" type="noConversion"/>
  <conditionalFormatting sqref="E39:E57">
    <cfRule type="cellIs" dxfId="1" priority="1" stopIfTrue="1" operator="greaterThan">
      <formula>$E$37</formula>
    </cfRule>
  </conditionalFormatting>
  <pageMargins left="0.39370078740157483" right="0" top="0.39370078740157483" bottom="0" header="0" footer="0"/>
  <pageSetup paperSize="8" scale="85" fitToHeight="0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I83"/>
  <sheetViews>
    <sheetView tabSelected="1" zoomScaleNormal="100" workbookViewId="0">
      <selection activeCell="N59" sqref="N59"/>
    </sheetView>
  </sheetViews>
  <sheetFormatPr baseColWidth="10" defaultRowHeight="13.2" x14ac:dyDescent="0.25"/>
  <cols>
    <col min="1" max="1" width="1.77734375" customWidth="1"/>
    <col min="2" max="2" width="36.6640625" customWidth="1"/>
    <col min="3" max="3" width="2.21875" hidden="1" customWidth="1"/>
    <col min="4" max="4" width="52.6640625" customWidth="1"/>
    <col min="5" max="5" width="8.77734375" customWidth="1"/>
    <col min="6" max="6" width="1.77734375" customWidth="1"/>
    <col min="7" max="7" width="29.6640625" hidden="1" customWidth="1"/>
    <col min="8" max="8" width="7" hidden="1" customWidth="1"/>
    <col min="9" max="9" width="14.77734375" hidden="1" customWidth="1"/>
    <col min="10" max="10" width="12.77734375" hidden="1" customWidth="1"/>
    <col min="11" max="11" width="7" hidden="1" customWidth="1"/>
    <col min="12" max="13" width="8.77734375" customWidth="1"/>
    <col min="14" max="14" width="4.77734375" customWidth="1"/>
    <col min="15" max="17" width="5.77734375" hidden="1" customWidth="1"/>
    <col min="18" max="35" width="6.77734375" hidden="1" customWidth="1"/>
  </cols>
  <sheetData>
    <row r="1" spans="2:15" ht="13.2" customHeight="1" x14ac:dyDescent="0.25">
      <c r="B1" s="144" t="s">
        <v>57</v>
      </c>
      <c r="C1" s="132"/>
      <c r="D1" s="132"/>
      <c r="E1" s="132"/>
    </row>
    <row r="2" spans="2:15" ht="20.100000000000001" customHeight="1" x14ac:dyDescent="0.25">
      <c r="B2" s="134" t="s">
        <v>52</v>
      </c>
      <c r="C2" s="135"/>
      <c r="D2" s="135"/>
      <c r="E2" s="135"/>
    </row>
    <row r="3" spans="2:15" ht="5.0999999999999996" customHeight="1" x14ac:dyDescent="0.25"/>
    <row r="4" spans="2:15" ht="18" customHeight="1" thickBot="1" x14ac:dyDescent="0.3">
      <c r="B4" s="12" t="s">
        <v>17</v>
      </c>
      <c r="D4" s="45" t="s">
        <v>3</v>
      </c>
      <c r="E4" s="46">
        <v>3</v>
      </c>
      <c r="G4" s="28" t="s">
        <v>24</v>
      </c>
      <c r="H4" s="29">
        <f>$E$4/COS(E7*PI()/180)</f>
        <v>3.0114595126300423</v>
      </c>
      <c r="I4" s="136" t="s">
        <v>19</v>
      </c>
      <c r="J4" s="136"/>
      <c r="K4" s="136"/>
    </row>
    <row r="5" spans="2:15" ht="18" hidden="1" customHeight="1" thickBot="1" x14ac:dyDescent="0.3">
      <c r="D5" s="45" t="s">
        <v>4</v>
      </c>
      <c r="E5" s="46">
        <v>0</v>
      </c>
    </row>
    <row r="6" spans="2:15" ht="18" customHeight="1" x14ac:dyDescent="0.25">
      <c r="B6" s="12" t="s">
        <v>18</v>
      </c>
      <c r="D6" s="45" t="s">
        <v>5</v>
      </c>
      <c r="E6" s="46">
        <v>1.2</v>
      </c>
      <c r="I6" s="26" t="s">
        <v>0</v>
      </c>
      <c r="J6" s="27" t="s">
        <v>12</v>
      </c>
      <c r="K6" s="17"/>
      <c r="L6" s="116"/>
      <c r="M6" s="117"/>
      <c r="N6" s="117"/>
    </row>
    <row r="7" spans="2:15" ht="18" customHeight="1" x14ac:dyDescent="0.25">
      <c r="B7" s="12" t="s">
        <v>9</v>
      </c>
      <c r="D7" s="45" t="s">
        <v>6</v>
      </c>
      <c r="E7" s="47">
        <v>5</v>
      </c>
      <c r="I7" s="18">
        <v>5</v>
      </c>
      <c r="J7" s="19">
        <v>0.8</v>
      </c>
      <c r="K7" s="17"/>
      <c r="L7" s="116"/>
      <c r="M7" s="117"/>
      <c r="N7" s="117"/>
    </row>
    <row r="8" spans="2:15" ht="18" customHeight="1" x14ac:dyDescent="0.25">
      <c r="B8" s="12" t="s">
        <v>10</v>
      </c>
      <c r="D8" s="45" t="s">
        <v>7</v>
      </c>
      <c r="E8" s="47">
        <v>45</v>
      </c>
      <c r="I8" s="18">
        <v>10</v>
      </c>
      <c r="J8" s="19">
        <v>0.8</v>
      </c>
      <c r="K8" s="17"/>
      <c r="L8" s="32"/>
      <c r="M8" s="33"/>
      <c r="N8" s="33"/>
      <c r="O8" s="11"/>
    </row>
    <row r="9" spans="2:15" ht="18" customHeight="1" x14ac:dyDescent="0.25">
      <c r="B9" s="118" t="s">
        <v>50</v>
      </c>
      <c r="D9" s="45" t="s">
        <v>8</v>
      </c>
      <c r="E9" s="47">
        <v>5</v>
      </c>
      <c r="I9" s="18">
        <v>15</v>
      </c>
      <c r="J9" s="19">
        <v>0.8</v>
      </c>
      <c r="K9" s="17"/>
      <c r="O9" s="11"/>
    </row>
    <row r="10" spans="2:15" ht="18" hidden="1" customHeight="1" x14ac:dyDescent="0.25">
      <c r="D10" s="45" t="s">
        <v>23</v>
      </c>
      <c r="E10" s="47">
        <v>200</v>
      </c>
      <c r="I10" s="18">
        <v>20</v>
      </c>
      <c r="J10" s="19">
        <v>0.8</v>
      </c>
      <c r="K10" s="17"/>
      <c r="L10" s="32"/>
      <c r="M10" s="33"/>
      <c r="N10" s="33"/>
      <c r="O10" s="11"/>
    </row>
    <row r="11" spans="2:15" ht="18" hidden="1" customHeight="1" x14ac:dyDescent="0.25">
      <c r="D11" s="43"/>
      <c r="E11" s="44"/>
      <c r="I11" s="18">
        <v>25</v>
      </c>
      <c r="J11" s="19">
        <v>0.8</v>
      </c>
      <c r="K11" s="17"/>
      <c r="L11" s="32"/>
      <c r="M11" s="33"/>
      <c r="N11" s="33"/>
      <c r="O11" s="11"/>
    </row>
    <row r="12" spans="2:15" ht="18" hidden="1" customHeight="1" x14ac:dyDescent="0.25">
      <c r="D12" s="48"/>
      <c r="E12" s="44"/>
      <c r="I12" s="18">
        <v>30</v>
      </c>
      <c r="J12" s="19">
        <f t="shared" ref="J12:J17" si="0">0.8*(60-$I12)/30</f>
        <v>0.8</v>
      </c>
      <c r="K12" s="17"/>
      <c r="L12" s="32"/>
      <c r="M12" s="33"/>
      <c r="N12" s="33"/>
      <c r="O12" s="11"/>
    </row>
    <row r="13" spans="2:15" ht="18" hidden="1" customHeight="1" x14ac:dyDescent="0.25">
      <c r="D13" s="9" t="s">
        <v>21</v>
      </c>
      <c r="E13" s="13">
        <v>258.57</v>
      </c>
      <c r="G13" s="28" t="s">
        <v>20</v>
      </c>
      <c r="H13">
        <f>70000000000*(E13/100000000)</f>
        <v>180999</v>
      </c>
      <c r="I13" s="18">
        <v>31</v>
      </c>
      <c r="J13" s="19">
        <f t="shared" si="0"/>
        <v>0.77333333333333343</v>
      </c>
      <c r="K13" s="17"/>
    </row>
    <row r="14" spans="2:15" ht="18" hidden="1" customHeight="1" x14ac:dyDescent="0.25">
      <c r="D14" s="9" t="s">
        <v>22</v>
      </c>
      <c r="E14" s="13">
        <v>83.33</v>
      </c>
      <c r="G14" s="83" t="s">
        <v>40</v>
      </c>
      <c r="H14">
        <f>(210000000000*(E14/100000000))+H13</f>
        <v>355992</v>
      </c>
      <c r="I14" s="18">
        <v>32</v>
      </c>
      <c r="J14" s="19">
        <f t="shared" si="0"/>
        <v>0.7466666666666667</v>
      </c>
      <c r="K14" s="17"/>
    </row>
    <row r="15" spans="2:15" ht="18" hidden="1" customHeight="1" x14ac:dyDescent="0.25">
      <c r="D15" s="9" t="s">
        <v>32</v>
      </c>
      <c r="E15" s="14">
        <f>ROUND(E5/E6,0)</f>
        <v>0</v>
      </c>
      <c r="G15" t="s">
        <v>39</v>
      </c>
      <c r="H15">
        <f>(210000000000*((E14*2)/100000000))+H13</f>
        <v>530985</v>
      </c>
      <c r="I15" s="18">
        <v>33</v>
      </c>
      <c r="J15" s="19">
        <f t="shared" si="0"/>
        <v>0.72000000000000008</v>
      </c>
      <c r="K15" s="17"/>
    </row>
    <row r="16" spans="2:15" ht="18" hidden="1" customHeight="1" x14ac:dyDescent="0.25">
      <c r="D16" s="9" t="s">
        <v>25</v>
      </c>
      <c r="E16" s="15">
        <v>4.1689999999999996</v>
      </c>
      <c r="I16" s="18">
        <v>34</v>
      </c>
      <c r="J16" s="19">
        <f t="shared" si="0"/>
        <v>0.69333333333333336</v>
      </c>
      <c r="K16" s="17"/>
    </row>
    <row r="17" spans="3:11" ht="18" hidden="1" customHeight="1" thickBot="1" x14ac:dyDescent="0.3">
      <c r="D17" s="9" t="s">
        <v>26</v>
      </c>
      <c r="E17" s="15">
        <v>7.6580000000000004</v>
      </c>
      <c r="I17" s="18">
        <v>35</v>
      </c>
      <c r="J17" s="19">
        <f t="shared" si="0"/>
        <v>0.66666666666666663</v>
      </c>
      <c r="K17" s="17"/>
    </row>
    <row r="18" spans="3:11" ht="18" hidden="1" customHeight="1" x14ac:dyDescent="0.25">
      <c r="D18" s="9" t="s">
        <v>27</v>
      </c>
      <c r="E18" s="15">
        <f>E16+E17</f>
        <v>11.827</v>
      </c>
      <c r="I18" s="20" t="s">
        <v>13</v>
      </c>
      <c r="J18" s="21">
        <f>VLOOKUP(E7,I7:J17,2)</f>
        <v>0.8</v>
      </c>
      <c r="K18" s="17"/>
    </row>
    <row r="19" spans="3:11" ht="18" hidden="1" customHeight="1" x14ac:dyDescent="0.25">
      <c r="D19" s="9" t="s">
        <v>28</v>
      </c>
      <c r="E19" s="15">
        <v>1.835</v>
      </c>
      <c r="I19" s="22" t="s">
        <v>14</v>
      </c>
      <c r="J19" s="23">
        <f>J18*E8</f>
        <v>36</v>
      </c>
      <c r="K19" s="17"/>
    </row>
    <row r="20" spans="3:11" ht="18" hidden="1" customHeight="1" thickBot="1" x14ac:dyDescent="0.3">
      <c r="D20" s="9" t="s">
        <v>29</v>
      </c>
      <c r="E20" s="15">
        <v>6.3109999999999999</v>
      </c>
      <c r="I20" s="24" t="s">
        <v>11</v>
      </c>
      <c r="J20" s="25">
        <f>E5-(0.041*2)-(0.022*E15)</f>
        <v>-8.2000000000000003E-2</v>
      </c>
      <c r="K20" s="17"/>
    </row>
    <row r="21" spans="3:11" ht="18" hidden="1" customHeight="1" x14ac:dyDescent="0.25">
      <c r="D21" s="9" t="s">
        <v>30</v>
      </c>
      <c r="E21" s="15">
        <f>E19+E20</f>
        <v>8.1460000000000008</v>
      </c>
      <c r="I21" s="137" t="s">
        <v>15</v>
      </c>
      <c r="J21" s="137"/>
      <c r="K21" s="137"/>
    </row>
    <row r="22" spans="3:11" ht="18" hidden="1" customHeight="1" x14ac:dyDescent="0.25">
      <c r="D22" s="30"/>
      <c r="E22" s="31"/>
      <c r="F22" s="4"/>
      <c r="G22" s="4"/>
      <c r="H22" s="4"/>
      <c r="I22" s="130" t="s">
        <v>16</v>
      </c>
      <c r="J22" s="130"/>
      <c r="K22" s="130"/>
    </row>
    <row r="23" spans="3:11" s="3" customFormat="1" ht="18" hidden="1" customHeight="1" x14ac:dyDescent="0.25">
      <c r="C23" s="133">
        <v>1</v>
      </c>
      <c r="D23" s="2"/>
      <c r="E23" s="16"/>
      <c r="F23" s="5"/>
      <c r="G23" s="5"/>
      <c r="H23" s="5"/>
    </row>
    <row r="24" spans="3:11" ht="18" hidden="1" customHeight="1" x14ac:dyDescent="0.25">
      <c r="C24" s="127"/>
      <c r="D24" s="1" t="s">
        <v>2</v>
      </c>
      <c r="E24" s="16">
        <f>($J$19*E4/2)+(((E9*(1-0.088))+(E19/E6))*H4/2)+E16</f>
        <v>67.337639441161556</v>
      </c>
      <c r="F24" s="4"/>
      <c r="G24" s="4"/>
      <c r="H24" s="4"/>
    </row>
    <row r="25" spans="3:11" ht="18" hidden="1" customHeight="1" x14ac:dyDescent="0.25">
      <c r="C25" s="126">
        <v>2</v>
      </c>
      <c r="D25" s="1"/>
      <c r="E25" s="16"/>
      <c r="F25" s="4"/>
      <c r="G25" s="4"/>
      <c r="H25" s="4"/>
    </row>
    <row r="26" spans="3:11" ht="18" hidden="1" customHeight="1" x14ac:dyDescent="0.25">
      <c r="C26" s="127"/>
      <c r="D26" s="1" t="s">
        <v>2</v>
      </c>
      <c r="E26" s="16">
        <f>($J$19*E4/2)+(((E9*(1-0.088))+(E21/E6))*H4/2)+E16</f>
        <v>75.256523184581638</v>
      </c>
      <c r="F26" s="4"/>
      <c r="G26" s="4"/>
      <c r="H26" s="4"/>
    </row>
    <row r="27" spans="3:11" ht="18" hidden="1" customHeight="1" x14ac:dyDescent="0.25">
      <c r="C27" s="126">
        <v>3</v>
      </c>
      <c r="D27" s="1"/>
      <c r="E27" s="16"/>
      <c r="F27" s="4"/>
      <c r="G27" s="4"/>
      <c r="H27" s="4"/>
    </row>
    <row r="28" spans="3:11" ht="18" hidden="1" customHeight="1" x14ac:dyDescent="0.25">
      <c r="C28" s="127"/>
      <c r="D28" s="1" t="s">
        <v>2</v>
      </c>
      <c r="E28" s="16">
        <f>($J$19*E4/2)+(((E9*(1-0.088))+(E19/E6))*H4/2)+E18</f>
        <v>74.995639441161558</v>
      </c>
      <c r="F28" s="4"/>
      <c r="G28" s="4"/>
      <c r="H28" s="4"/>
    </row>
    <row r="29" spans="3:11" ht="18" hidden="1" customHeight="1" x14ac:dyDescent="0.25">
      <c r="C29" s="126">
        <v>4</v>
      </c>
      <c r="D29" s="1"/>
      <c r="E29" s="16"/>
      <c r="F29" s="4"/>
      <c r="G29" s="4"/>
      <c r="H29" s="4"/>
    </row>
    <row r="30" spans="3:11" ht="18" hidden="1" customHeight="1" x14ac:dyDescent="0.25">
      <c r="C30" s="127"/>
      <c r="D30" s="1" t="s">
        <v>2</v>
      </c>
      <c r="E30" s="16">
        <f>($J$19*E4/2)+(((E9*(1-0.088))+(E21/E6))*H4/2)+E18</f>
        <v>82.91452318458164</v>
      </c>
      <c r="F30" s="4"/>
      <c r="G30" s="4"/>
      <c r="H30" s="4"/>
    </row>
    <row r="31" spans="3:11" ht="18" hidden="1" customHeight="1" x14ac:dyDescent="0.25">
      <c r="C31" s="126">
        <v>5</v>
      </c>
      <c r="D31" s="1"/>
      <c r="E31" s="16"/>
      <c r="F31" s="4"/>
      <c r="G31" s="4"/>
      <c r="H31" s="4"/>
    </row>
    <row r="32" spans="3:11" ht="18" hidden="1" customHeight="1" x14ac:dyDescent="0.25">
      <c r="C32" s="127"/>
      <c r="D32" s="1" t="s">
        <v>2</v>
      </c>
      <c r="E32" s="16">
        <f>($J$19*E4/2)+(((E9*(1-0.088))+(E19/E6))*H4/2)+(E16+(2*E17))</f>
        <v>82.653639441161545</v>
      </c>
      <c r="F32" s="4"/>
      <c r="G32" s="4"/>
      <c r="H32" s="4"/>
    </row>
    <row r="33" spans="3:35" ht="18" hidden="1" customHeight="1" x14ac:dyDescent="0.25">
      <c r="C33" s="126">
        <v>6</v>
      </c>
      <c r="D33" s="1"/>
      <c r="E33" s="16"/>
      <c r="F33" s="4"/>
      <c r="G33" s="4"/>
      <c r="H33" s="4"/>
    </row>
    <row r="34" spans="3:35" ht="18" hidden="1" customHeight="1" x14ac:dyDescent="0.25">
      <c r="C34" s="127"/>
      <c r="D34" s="1" t="s">
        <v>2</v>
      </c>
      <c r="E34" s="16">
        <f>($J$19*E4/2)+(((E9*(1-0.088))+(E21/E6))*H4/2)+(E16+(2*E17))</f>
        <v>90.572523184581641</v>
      </c>
      <c r="F34" s="4"/>
      <c r="G34" s="4"/>
      <c r="H34" s="4"/>
    </row>
    <row r="35" spans="3:35" ht="18" hidden="1" customHeight="1" x14ac:dyDescent="0.25">
      <c r="D35" s="10"/>
      <c r="E35" s="5"/>
      <c r="F35" s="4"/>
      <c r="G35" s="4"/>
      <c r="H35" s="4"/>
    </row>
    <row r="36" spans="3:35" ht="18" hidden="1" customHeight="1" x14ac:dyDescent="0.3">
      <c r="C36" s="140"/>
      <c r="D36" s="141"/>
      <c r="E36" s="87"/>
      <c r="F36" s="4"/>
      <c r="G36" s="4"/>
      <c r="H36" s="4"/>
    </row>
    <row r="37" spans="3:35" ht="18" hidden="1" customHeight="1" x14ac:dyDescent="0.25">
      <c r="D37" s="138"/>
      <c r="E37" s="139"/>
      <c r="F37" s="4"/>
      <c r="G37" s="4"/>
      <c r="H37" s="4"/>
      <c r="P37" s="67" t="s">
        <v>37</v>
      </c>
    </row>
    <row r="38" spans="3:35" ht="18" customHeight="1" x14ac:dyDescent="0.3">
      <c r="C38" s="34"/>
      <c r="D38" s="34"/>
      <c r="E38" s="88"/>
      <c r="F38" s="6"/>
      <c r="G38" s="7"/>
      <c r="H38" s="7"/>
      <c r="P38" s="128" t="s">
        <v>33</v>
      </c>
      <c r="Q38" s="129"/>
      <c r="R38" s="40">
        <v>2</v>
      </c>
      <c r="S38" s="41">
        <v>2</v>
      </c>
      <c r="T38" s="40">
        <v>2.5</v>
      </c>
      <c r="U38" s="42">
        <v>2.5</v>
      </c>
      <c r="V38" s="41">
        <v>3</v>
      </c>
      <c r="W38" s="41">
        <v>3</v>
      </c>
      <c r="X38" s="40">
        <v>3.5</v>
      </c>
      <c r="Y38" s="42">
        <v>3.5</v>
      </c>
      <c r="Z38" s="41">
        <v>4</v>
      </c>
      <c r="AA38" s="41">
        <v>4</v>
      </c>
      <c r="AB38" s="40">
        <v>4.5</v>
      </c>
      <c r="AC38" s="42">
        <v>4.5</v>
      </c>
      <c r="AD38" s="41">
        <v>5</v>
      </c>
      <c r="AE38" s="41">
        <v>5</v>
      </c>
      <c r="AF38" s="40">
        <v>5.5</v>
      </c>
      <c r="AG38" s="42">
        <v>5.5</v>
      </c>
      <c r="AH38" s="41">
        <v>6</v>
      </c>
      <c r="AI38" s="42">
        <v>6</v>
      </c>
    </row>
    <row r="39" spans="3:35" ht="18" hidden="1" customHeight="1" x14ac:dyDescent="0.3">
      <c r="C39" s="90">
        <v>1</v>
      </c>
      <c r="D39" s="105" t="s">
        <v>31</v>
      </c>
      <c r="E39" s="92">
        <f>(((384*$H$13*100000)/(5*$E24*E10))^(1/3))/100</f>
        <v>4.6908315478990836</v>
      </c>
      <c r="F39" s="6"/>
      <c r="G39" s="7"/>
      <c r="H39" s="7"/>
      <c r="P39" s="85" t="s">
        <v>0</v>
      </c>
      <c r="Q39" s="86"/>
      <c r="R39" s="51">
        <v>5</v>
      </c>
      <c r="S39" s="59">
        <v>15</v>
      </c>
      <c r="T39" s="51">
        <v>5</v>
      </c>
      <c r="U39" s="52">
        <v>15</v>
      </c>
      <c r="V39" s="63">
        <v>5</v>
      </c>
      <c r="W39" s="59">
        <v>15</v>
      </c>
      <c r="X39" s="51">
        <v>5</v>
      </c>
      <c r="Y39" s="52">
        <v>15</v>
      </c>
      <c r="Z39" s="63">
        <v>5</v>
      </c>
      <c r="AA39" s="59">
        <v>15</v>
      </c>
      <c r="AB39" s="51">
        <v>5</v>
      </c>
      <c r="AC39" s="52">
        <v>15</v>
      </c>
      <c r="AD39" s="63">
        <v>5</v>
      </c>
      <c r="AE39" s="59">
        <v>15</v>
      </c>
      <c r="AF39" s="51">
        <v>5</v>
      </c>
      <c r="AG39" s="52">
        <v>15</v>
      </c>
      <c r="AH39" s="63">
        <v>5</v>
      </c>
      <c r="AI39" s="52">
        <v>15</v>
      </c>
    </row>
    <row r="40" spans="3:35" ht="18" hidden="1" customHeight="1" x14ac:dyDescent="0.3">
      <c r="C40" s="34"/>
      <c r="D40" s="106" t="s">
        <v>53</v>
      </c>
      <c r="E40" s="36"/>
      <c r="F40" s="6"/>
      <c r="G40" s="7"/>
      <c r="H40" s="7"/>
      <c r="P40" s="142" t="s">
        <v>34</v>
      </c>
      <c r="Q40" s="37">
        <v>45</v>
      </c>
      <c r="R40" s="68">
        <f t="shared" ref="R40:AA44" si="1">(((384*$H$13*100000)/(5*((((VLOOKUP(R$39,$I$7:$J$17,2))*$Q40)*R$38/2)+((($E$9*(1-0.088))+($E$19/$E$6))*((R$38/COS(R$39*PI()/180))/2))+$E$16)*$E$10))^(1/3))/100</f>
        <v>5.3153706632174158</v>
      </c>
      <c r="S40" s="69">
        <f t="shared" si="1"/>
        <v>5.3080579996772652</v>
      </c>
      <c r="T40" s="68">
        <f t="shared" si="1"/>
        <v>4.9643462016532407</v>
      </c>
      <c r="U40" s="70">
        <f t="shared" si="1"/>
        <v>4.9573915124925705</v>
      </c>
      <c r="V40" s="71">
        <f t="shared" si="1"/>
        <v>4.6908315478990836</v>
      </c>
      <c r="W40" s="69">
        <f t="shared" si="1"/>
        <v>4.68417889255704</v>
      </c>
      <c r="X40" s="68">
        <f t="shared" si="1"/>
        <v>4.4691025160939395</v>
      </c>
      <c r="Y40" s="70">
        <f t="shared" si="1"/>
        <v>4.4627079254076598</v>
      </c>
      <c r="Z40" s="71">
        <f t="shared" si="1"/>
        <v>4.2841214986155771</v>
      </c>
      <c r="AA40" s="69">
        <f t="shared" si="1"/>
        <v>4.277950404353061</v>
      </c>
      <c r="AB40" s="68">
        <f t="shared" ref="AB40:AI44" si="2">(((384*$H$13*100000)/(5*((((VLOOKUP(AB$39,$I$7:$J$17,2))*$Q40)*AB$38/2)+((($E$9*(1-0.088))+($E$19/$E$6))*((AB$38/COS(AB$39*PI()/180))/2))+$E$16)*$E$10))^(1/3))/100</f>
        <v>4.1264022689339042</v>
      </c>
      <c r="AC40" s="70">
        <f t="shared" si="2"/>
        <v>4.120427140342894</v>
      </c>
      <c r="AD40" s="71">
        <f t="shared" si="2"/>
        <v>3.9896101278358818</v>
      </c>
      <c r="AE40" s="69">
        <f t="shared" si="2"/>
        <v>3.9838086985195873</v>
      </c>
      <c r="AF40" s="68">
        <f t="shared" si="2"/>
        <v>3.8693236038179428</v>
      </c>
      <c r="AG40" s="70">
        <f t="shared" si="2"/>
        <v>3.8636775932623832</v>
      </c>
      <c r="AH40" s="71">
        <f t="shared" si="2"/>
        <v>3.7623454097154938</v>
      </c>
      <c r="AI40" s="70">
        <f t="shared" si="2"/>
        <v>3.7568396023024011</v>
      </c>
    </row>
    <row r="41" spans="3:35" ht="18" hidden="1" customHeight="1" x14ac:dyDescent="0.3">
      <c r="C41" s="34"/>
      <c r="D41" s="35"/>
      <c r="E41" s="36"/>
      <c r="F41" s="6"/>
      <c r="G41" s="7"/>
      <c r="H41" s="7"/>
      <c r="P41" s="143"/>
      <c r="Q41" s="38">
        <v>55</v>
      </c>
      <c r="R41" s="72">
        <f t="shared" si="1"/>
        <v>5.040249668474349</v>
      </c>
      <c r="S41" s="73">
        <f t="shared" si="1"/>
        <v>5.0343350658615105</v>
      </c>
      <c r="T41" s="72">
        <f t="shared" si="1"/>
        <v>4.7031589313736113</v>
      </c>
      <c r="U41" s="74">
        <f t="shared" si="1"/>
        <v>4.6975540023637459</v>
      </c>
      <c r="V41" s="75">
        <f t="shared" si="1"/>
        <v>4.4412924862705134</v>
      </c>
      <c r="W41" s="73">
        <f t="shared" si="1"/>
        <v>4.4359441417733345</v>
      </c>
      <c r="X41" s="72">
        <f t="shared" si="1"/>
        <v>4.2294568436515529</v>
      </c>
      <c r="Y41" s="74">
        <f t="shared" si="1"/>
        <v>4.2243251685870726</v>
      </c>
      <c r="Z41" s="75">
        <f t="shared" si="1"/>
        <v>4.0530082851289686</v>
      </c>
      <c r="AA41" s="73">
        <f t="shared" si="1"/>
        <v>4.0480627115987353</v>
      </c>
      <c r="AB41" s="72">
        <f t="shared" si="2"/>
        <v>3.9027473602929899</v>
      </c>
      <c r="AC41" s="74">
        <f t="shared" si="2"/>
        <v>3.8979639651936884</v>
      </c>
      <c r="AD41" s="75">
        <f t="shared" si="2"/>
        <v>3.7725503217144127</v>
      </c>
      <c r="AE41" s="73">
        <f t="shared" si="2"/>
        <v>3.7679099972377901</v>
      </c>
      <c r="AF41" s="72">
        <f t="shared" si="2"/>
        <v>3.6581536226743014</v>
      </c>
      <c r="AG41" s="74">
        <f t="shared" si="2"/>
        <v>3.6536408288480207</v>
      </c>
      <c r="AH41" s="75">
        <f t="shared" si="2"/>
        <v>3.5564804213803329</v>
      </c>
      <c r="AI41" s="74">
        <f t="shared" si="2"/>
        <v>3.5520823187651005</v>
      </c>
    </row>
    <row r="42" spans="3:35" ht="18" hidden="1" customHeight="1" x14ac:dyDescent="0.3">
      <c r="C42" s="34"/>
      <c r="D42" s="35"/>
      <c r="E42" s="36"/>
      <c r="F42" s="6"/>
      <c r="G42" s="7"/>
      <c r="H42" s="7"/>
      <c r="P42" s="143"/>
      <c r="Q42" s="38">
        <v>65</v>
      </c>
      <c r="R42" s="72">
        <f t="shared" si="1"/>
        <v>4.8144825472538093</v>
      </c>
      <c r="S42" s="73">
        <f t="shared" si="1"/>
        <v>4.8095570885003607</v>
      </c>
      <c r="T42" s="72">
        <f t="shared" si="1"/>
        <v>4.4894943083874272</v>
      </c>
      <c r="U42" s="74">
        <f t="shared" si="1"/>
        <v>4.4848391347509979</v>
      </c>
      <c r="V42" s="75">
        <f t="shared" si="1"/>
        <v>4.2375926385370217</v>
      </c>
      <c r="W42" s="73">
        <f t="shared" si="1"/>
        <v>4.2331586349981674</v>
      </c>
      <c r="X42" s="72">
        <f t="shared" si="1"/>
        <v>4.034137027967267</v>
      </c>
      <c r="Y42" s="74">
        <f t="shared" si="1"/>
        <v>4.0298882638006353</v>
      </c>
      <c r="Z42" s="75">
        <f t="shared" si="1"/>
        <v>3.8648653026272175</v>
      </c>
      <c r="AA42" s="73">
        <f t="shared" si="1"/>
        <v>3.8607747223751545</v>
      </c>
      <c r="AB42" s="72">
        <f t="shared" si="2"/>
        <v>3.7208450693273032</v>
      </c>
      <c r="AC42" s="74">
        <f t="shared" si="2"/>
        <v>3.7168917418662164</v>
      </c>
      <c r="AD42" s="75">
        <f t="shared" si="2"/>
        <v>3.5961441875989935</v>
      </c>
      <c r="AE42" s="73">
        <f t="shared" si="2"/>
        <v>3.5923115349667079</v>
      </c>
      <c r="AF42" s="72">
        <f t="shared" si="2"/>
        <v>3.4866400899863019</v>
      </c>
      <c r="AG42" s="74">
        <f t="shared" si="2"/>
        <v>3.4829147159412526</v>
      </c>
      <c r="AH42" s="75">
        <f t="shared" si="2"/>
        <v>3.3893620907204376</v>
      </c>
      <c r="AI42" s="74">
        <f t="shared" si="2"/>
        <v>3.3857329829170761</v>
      </c>
    </row>
    <row r="43" spans="3:35" ht="18" hidden="1" customHeight="1" x14ac:dyDescent="0.3">
      <c r="C43" s="34"/>
      <c r="D43" s="35"/>
      <c r="E43" s="36"/>
      <c r="F43" s="6"/>
      <c r="G43" s="7"/>
      <c r="H43" s="7"/>
      <c r="P43" s="143"/>
      <c r="Q43" s="39">
        <v>90</v>
      </c>
      <c r="R43" s="76">
        <f t="shared" si="1"/>
        <v>4.3876825242831616</v>
      </c>
      <c r="S43" s="77">
        <f t="shared" si="1"/>
        <v>4.3842831035282428</v>
      </c>
      <c r="T43" s="76">
        <f t="shared" si="1"/>
        <v>4.0870158159075984</v>
      </c>
      <c r="U43" s="78">
        <f t="shared" si="1"/>
        <v>4.0838169757620673</v>
      </c>
      <c r="V43" s="79">
        <f t="shared" si="1"/>
        <v>3.8548186608220614</v>
      </c>
      <c r="W43" s="77">
        <f t="shared" si="1"/>
        <v>3.8517808575042336</v>
      </c>
      <c r="X43" s="76">
        <f t="shared" si="1"/>
        <v>3.6677579468050947</v>
      </c>
      <c r="Y43" s="78">
        <f t="shared" si="1"/>
        <v>3.6648533227925721</v>
      </c>
      <c r="Z43" s="79">
        <f t="shared" si="1"/>
        <v>3.5124209612264718</v>
      </c>
      <c r="AA43" s="77">
        <f t="shared" si="1"/>
        <v>3.5096290417295051</v>
      </c>
      <c r="AB43" s="76">
        <f t="shared" si="2"/>
        <v>3.3804491651819353</v>
      </c>
      <c r="AC43" s="78">
        <f t="shared" si="2"/>
        <v>3.3777543758949751</v>
      </c>
      <c r="AD43" s="79">
        <f t="shared" si="2"/>
        <v>3.2663125432875528</v>
      </c>
      <c r="AE43" s="77">
        <f t="shared" si="2"/>
        <v>3.2637027025107757</v>
      </c>
      <c r="AF43" s="76">
        <f t="shared" si="2"/>
        <v>3.1661794398018981</v>
      </c>
      <c r="AG43" s="78">
        <f t="shared" si="2"/>
        <v>3.1636447984276548</v>
      </c>
      <c r="AH43" s="79">
        <f t="shared" si="2"/>
        <v>3.0772954476511307</v>
      </c>
      <c r="AI43" s="78">
        <f t="shared" si="2"/>
        <v>3.074828052787919</v>
      </c>
    </row>
    <row r="44" spans="3:35" ht="18" hidden="1" customHeight="1" x14ac:dyDescent="0.25">
      <c r="C44" s="34"/>
      <c r="D44" s="34"/>
      <c r="E44" s="88"/>
      <c r="F44" s="8"/>
      <c r="G44" s="7"/>
      <c r="H44" s="7"/>
      <c r="P44" s="143"/>
      <c r="Q44" s="98">
        <v>140</v>
      </c>
      <c r="R44" s="76">
        <f t="shared" si="1"/>
        <v>3.8448756752036606</v>
      </c>
      <c r="S44" s="76">
        <f t="shared" si="1"/>
        <v>3.8428702178307517</v>
      </c>
      <c r="T44" s="76">
        <f t="shared" si="1"/>
        <v>3.577416057073175</v>
      </c>
      <c r="U44" s="76">
        <f t="shared" si="1"/>
        <v>3.5755373072992147</v>
      </c>
      <c r="V44" s="76">
        <f t="shared" si="1"/>
        <v>3.3716292585736438</v>
      </c>
      <c r="W44" s="76">
        <f t="shared" si="1"/>
        <v>3.3698504486707792</v>
      </c>
      <c r="X44" s="76">
        <f t="shared" si="1"/>
        <v>3.2062726789724127</v>
      </c>
      <c r="Y44" s="76">
        <f t="shared" si="1"/>
        <v>3.2045755401019358</v>
      </c>
      <c r="Z44" s="76">
        <f t="shared" si="1"/>
        <v>3.0692199614057118</v>
      </c>
      <c r="AA44" s="76">
        <f t="shared" si="1"/>
        <v>3.0675913464163256</v>
      </c>
      <c r="AB44" s="76">
        <f t="shared" si="2"/>
        <v>2.9529520442801589</v>
      </c>
      <c r="AC44" s="76">
        <f t="shared" si="2"/>
        <v>2.9513821023792683</v>
      </c>
      <c r="AD44" s="76">
        <f t="shared" si="2"/>
        <v>2.85251319711191</v>
      </c>
      <c r="AE44" s="76">
        <f t="shared" si="2"/>
        <v>2.8509943102340132</v>
      </c>
      <c r="AF44" s="76">
        <f t="shared" si="2"/>
        <v>2.7644799137655323</v>
      </c>
      <c r="AG44" s="76">
        <f t="shared" si="2"/>
        <v>2.763006038824201</v>
      </c>
      <c r="AH44" s="76">
        <f t="shared" si="2"/>
        <v>2.6863971074262185</v>
      </c>
      <c r="AI44" s="76">
        <f t="shared" si="2"/>
        <v>2.6849633496177305</v>
      </c>
    </row>
    <row r="45" spans="3:35" ht="18" customHeight="1" x14ac:dyDescent="0.3">
      <c r="C45" s="90">
        <v>2</v>
      </c>
      <c r="D45" s="119" t="s">
        <v>54</v>
      </c>
      <c r="E45" s="92">
        <f>1.14*((((384*$H$13*100000)/(5*$E26*E10))^(1/3))/100)</f>
        <v>5.1529896226467651</v>
      </c>
      <c r="F45" s="8"/>
      <c r="G45" s="7"/>
      <c r="H45" s="7"/>
      <c r="P45" s="67" t="s">
        <v>38</v>
      </c>
    </row>
    <row r="46" spans="3:35" ht="18" customHeight="1" x14ac:dyDescent="0.25">
      <c r="C46" s="34"/>
      <c r="D46" s="35"/>
      <c r="E46" s="36"/>
      <c r="F46" s="8"/>
      <c r="G46" s="7"/>
      <c r="H46" s="7"/>
      <c r="P46" s="120" t="s">
        <v>34</v>
      </c>
      <c r="Q46" s="101">
        <v>45</v>
      </c>
      <c r="R46" s="107">
        <f>1.14*((((384*$H$13*100000)/(5*((((VLOOKUP(R$39,$I$7:$J$17,2))*$Q46)*R$38/2)+((($E$9*(1-0.088))+($E$21/$E$6))*((R$38/COS(R$39*PI()/180))/2))+$E$16)*$E$10))^(1/3))/100)</f>
        <v>5.8452232067923893</v>
      </c>
      <c r="S46" s="107">
        <f t="shared" ref="S46:AI50" si="3">1.14*((((384*$H$13*100000)/(5*((((VLOOKUP(S$39,$I$7:$J$17,2))*$Q46)*S$38/2)+((($E$9*(1-0.088))+($E$21/$E$6))*((S$38/COS(S$39*PI()/180))/2))+$E$16)*$E$10))^(1/3))/100)</f>
        <v>5.831795461140814</v>
      </c>
      <c r="T46" s="107">
        <f t="shared" si="3"/>
        <v>5.455793495751653</v>
      </c>
      <c r="U46" s="107">
        <f t="shared" si="3"/>
        <v>5.4430553073172758</v>
      </c>
      <c r="V46" s="107">
        <f t="shared" si="3"/>
        <v>5.1529896226467651</v>
      </c>
      <c r="W46" s="107">
        <f t="shared" si="3"/>
        <v>5.140825750168819</v>
      </c>
      <c r="X46" s="107">
        <f t="shared" si="3"/>
        <v>4.9078793817423163</v>
      </c>
      <c r="Y46" s="107">
        <f t="shared" si="3"/>
        <v>4.896202126577375</v>
      </c>
      <c r="Z46" s="107">
        <f t="shared" si="3"/>
        <v>4.7036167279063612</v>
      </c>
      <c r="AA46" s="107">
        <f t="shared" si="3"/>
        <v>4.6923584366332021</v>
      </c>
      <c r="AB46" s="107">
        <f t="shared" si="3"/>
        <v>4.5296052884270797</v>
      </c>
      <c r="AC46" s="107">
        <f t="shared" si="3"/>
        <v>4.5187127532300249</v>
      </c>
      <c r="AD46" s="107">
        <f t="shared" si="3"/>
        <v>4.3787846340759051</v>
      </c>
      <c r="AE46" s="107">
        <f t="shared" si="3"/>
        <v>4.3682152059028914</v>
      </c>
      <c r="AF46" s="107">
        <f t="shared" si="3"/>
        <v>4.2462353324474549</v>
      </c>
      <c r="AG46" s="107">
        <f t="shared" si="3"/>
        <v>4.2359542323878623</v>
      </c>
      <c r="AH46" s="107">
        <f t="shared" si="3"/>
        <v>4.1284050277519508</v>
      </c>
      <c r="AI46" s="107">
        <f t="shared" si="3"/>
        <v>4.1183834600810352</v>
      </c>
    </row>
    <row r="47" spans="3:35" ht="18" customHeight="1" x14ac:dyDescent="0.25">
      <c r="C47" s="34"/>
      <c r="D47" s="35"/>
      <c r="E47" s="36"/>
      <c r="F47" s="8"/>
      <c r="G47" s="7"/>
      <c r="H47" s="7"/>
      <c r="P47" s="121"/>
      <c r="Q47" s="102">
        <v>55</v>
      </c>
      <c r="R47" s="108">
        <f t="shared" ref="R47:AG50" si="4">1.14*((((384*$H$13*100000)/(5*((((VLOOKUP(R$39,$I$7:$J$17,2))*$Q47)*R$38/2)+((($E$9*(1-0.088))+($E$21/$E$6))*((R$38/COS(R$39*PI()/180))/2))+$E$16)*$E$10))^(1/3))/100)</f>
        <v>5.5708410052440964</v>
      </c>
      <c r="S47" s="108">
        <f t="shared" si="4"/>
        <v>5.5597556537476809</v>
      </c>
      <c r="T47" s="108">
        <f t="shared" si="4"/>
        <v>5.1958706656451925</v>
      </c>
      <c r="U47" s="108">
        <f t="shared" si="4"/>
        <v>5.1853852596899968</v>
      </c>
      <c r="V47" s="108">
        <f t="shared" si="4"/>
        <v>4.9050264078857078</v>
      </c>
      <c r="W47" s="108">
        <f t="shared" si="4"/>
        <v>4.8950337311172127</v>
      </c>
      <c r="X47" s="108">
        <f t="shared" si="4"/>
        <v>4.6700038285228498</v>
      </c>
      <c r="Y47" s="108">
        <f t="shared" si="4"/>
        <v>4.6604248316405705</v>
      </c>
      <c r="Z47" s="108">
        <f t="shared" si="4"/>
        <v>4.4743987188659933</v>
      </c>
      <c r="AA47" s="108">
        <f t="shared" si="4"/>
        <v>4.4651735878570751</v>
      </c>
      <c r="AB47" s="108">
        <f t="shared" si="4"/>
        <v>4.3079274117460722</v>
      </c>
      <c r="AC47" s="108">
        <f t="shared" si="4"/>
        <v>4.2990097168665331</v>
      </c>
      <c r="AD47" s="108">
        <f t="shared" si="4"/>
        <v>4.1637554477611847</v>
      </c>
      <c r="AE47" s="108">
        <f t="shared" si="4"/>
        <v>4.1551083251522609</v>
      </c>
      <c r="AF47" s="108">
        <f t="shared" si="4"/>
        <v>4.0371304953641127</v>
      </c>
      <c r="AG47" s="108">
        <f t="shared" si="4"/>
        <v>4.0287241002547729</v>
      </c>
      <c r="AH47" s="108">
        <f t="shared" si="3"/>
        <v>3.9246264956779759</v>
      </c>
      <c r="AI47" s="108">
        <f t="shared" si="3"/>
        <v>3.9164362577895373</v>
      </c>
    </row>
    <row r="48" spans="3:35" ht="18" customHeight="1" x14ac:dyDescent="0.25">
      <c r="C48" s="34"/>
      <c r="D48" s="35"/>
      <c r="E48" s="36"/>
      <c r="F48" s="8"/>
      <c r="G48" s="7"/>
      <c r="H48" s="7"/>
      <c r="P48" s="121"/>
      <c r="Q48" s="102">
        <v>65</v>
      </c>
      <c r="R48" s="108">
        <f t="shared" si="4"/>
        <v>5.3416567353514006</v>
      </c>
      <c r="S48" s="108">
        <f t="shared" si="3"/>
        <v>5.3322816598608744</v>
      </c>
      <c r="T48" s="108">
        <f t="shared" si="3"/>
        <v>4.9793238062673799</v>
      </c>
      <c r="U48" s="108">
        <f t="shared" si="3"/>
        <v>4.9704758425334257</v>
      </c>
      <c r="V48" s="108">
        <f t="shared" si="3"/>
        <v>4.6988072676546144</v>
      </c>
      <c r="W48" s="108">
        <f t="shared" si="3"/>
        <v>4.6903878766414593</v>
      </c>
      <c r="X48" s="108">
        <f t="shared" si="3"/>
        <v>4.4724272801048421</v>
      </c>
      <c r="Y48" s="108">
        <f t="shared" si="3"/>
        <v>4.4643653187945072</v>
      </c>
      <c r="Z48" s="108">
        <f t="shared" si="3"/>
        <v>4.2841980254552672</v>
      </c>
      <c r="AA48" s="108">
        <f t="shared" si="3"/>
        <v>4.276440369058478</v>
      </c>
      <c r="AB48" s="108">
        <f t="shared" si="3"/>
        <v>4.1241237200163914</v>
      </c>
      <c r="AC48" s="108">
        <f t="shared" si="3"/>
        <v>4.1166295061959657</v>
      </c>
      <c r="AD48" s="108">
        <f t="shared" si="3"/>
        <v>3.9855741439571077</v>
      </c>
      <c r="AE48" s="108">
        <f t="shared" si="3"/>
        <v>3.9783111461870924</v>
      </c>
      <c r="AF48" s="108">
        <f t="shared" si="3"/>
        <v>3.8639460423900105</v>
      </c>
      <c r="AG48" s="108">
        <f t="shared" si="3"/>
        <v>3.8568883041824584</v>
      </c>
      <c r="AH48" s="108">
        <f t="shared" si="3"/>
        <v>3.7559249381999944</v>
      </c>
      <c r="AI48" s="108">
        <f t="shared" si="3"/>
        <v>3.7490511773120825</v>
      </c>
    </row>
    <row r="49" spans="3:35" ht="18" customHeight="1" x14ac:dyDescent="0.25">
      <c r="C49" s="34"/>
      <c r="D49" s="35"/>
      <c r="E49" s="36"/>
      <c r="F49" s="8"/>
      <c r="G49" s="7"/>
      <c r="H49" s="7"/>
      <c r="P49" s="121"/>
      <c r="Q49" s="102">
        <v>90</v>
      </c>
      <c r="R49" s="108">
        <f t="shared" si="4"/>
        <v>4.8993403000456812</v>
      </c>
      <c r="S49" s="108">
        <f t="shared" si="3"/>
        <v>4.8927002817571834</v>
      </c>
      <c r="T49" s="108">
        <f t="shared" si="3"/>
        <v>4.5626736069510088</v>
      </c>
      <c r="U49" s="108">
        <f t="shared" si="3"/>
        <v>4.5564305806071648</v>
      </c>
      <c r="V49" s="108">
        <f t="shared" si="3"/>
        <v>4.3028528542650184</v>
      </c>
      <c r="W49" s="108">
        <f t="shared" si="3"/>
        <v>4.2969274617699611</v>
      </c>
      <c r="X49" s="108">
        <f t="shared" si="3"/>
        <v>4.0936383086909869</v>
      </c>
      <c r="Y49" s="108">
        <f t="shared" si="3"/>
        <v>4.087974999471224</v>
      </c>
      <c r="Z49" s="108">
        <f t="shared" si="3"/>
        <v>3.9199658252757339</v>
      </c>
      <c r="AA49" s="108">
        <f t="shared" si="3"/>
        <v>3.9145239411496213</v>
      </c>
      <c r="AB49" s="108">
        <f t="shared" si="3"/>
        <v>3.7724564543017305</v>
      </c>
      <c r="AC49" s="108">
        <f t="shared" si="3"/>
        <v>3.7672051600084808</v>
      </c>
      <c r="AD49" s="108">
        <f t="shared" si="3"/>
        <v>3.6449094530181041</v>
      </c>
      <c r="AE49" s="108">
        <f t="shared" si="3"/>
        <v>3.6398246837408257</v>
      </c>
      <c r="AF49" s="108">
        <f t="shared" si="3"/>
        <v>3.5330308111891617</v>
      </c>
      <c r="AG49" s="108">
        <f t="shared" si="3"/>
        <v>3.5280933408622768</v>
      </c>
      <c r="AH49" s="108">
        <f t="shared" si="3"/>
        <v>3.4337351366585764</v>
      </c>
      <c r="AI49" s="108">
        <f t="shared" si="3"/>
        <v>3.4289293031300065</v>
      </c>
    </row>
    <row r="50" spans="3:35" ht="18" customHeight="1" x14ac:dyDescent="0.3">
      <c r="C50" s="34"/>
      <c r="D50" s="34"/>
      <c r="E50" s="88"/>
      <c r="F50" s="6"/>
      <c r="G50" s="7"/>
      <c r="H50" s="7"/>
      <c r="P50" s="122"/>
      <c r="Q50" s="109">
        <v>140</v>
      </c>
      <c r="R50" s="110">
        <f t="shared" si="4"/>
        <v>4.3218369042699951</v>
      </c>
      <c r="S50" s="110">
        <f t="shared" si="3"/>
        <v>4.3178128728754377</v>
      </c>
      <c r="T50" s="110">
        <f t="shared" si="3"/>
        <v>4.0208178285229881</v>
      </c>
      <c r="U50" s="110">
        <f t="shared" si="3"/>
        <v>4.0170494879281842</v>
      </c>
      <c r="V50" s="110">
        <f t="shared" si="3"/>
        <v>3.7892829184672596</v>
      </c>
      <c r="W50" s="110">
        <f t="shared" si="3"/>
        <v>3.7857159575448756</v>
      </c>
      <c r="X50" s="110">
        <f t="shared" si="3"/>
        <v>3.6032775378240687</v>
      </c>
      <c r="Y50" s="110">
        <f t="shared" si="3"/>
        <v>3.5998749817534739</v>
      </c>
      <c r="Z50" s="110">
        <f t="shared" si="3"/>
        <v>3.4491352196574185</v>
      </c>
      <c r="AA50" s="110">
        <f t="shared" si="3"/>
        <v>3.4458705043330573</v>
      </c>
      <c r="AB50" s="110">
        <f t="shared" si="3"/>
        <v>3.3183855384603667</v>
      </c>
      <c r="AC50" s="110">
        <f t="shared" si="3"/>
        <v>3.3152387843653339</v>
      </c>
      <c r="AD50" s="110">
        <f t="shared" si="3"/>
        <v>3.2054475222588952</v>
      </c>
      <c r="AE50" s="110">
        <f t="shared" si="3"/>
        <v>3.2024033698376915</v>
      </c>
      <c r="AF50" s="110">
        <f t="shared" si="3"/>
        <v>3.1064667073299455</v>
      </c>
      <c r="AG50" s="110">
        <f t="shared" si="3"/>
        <v>3.1035129813179823</v>
      </c>
      <c r="AH50" s="110">
        <f t="shared" si="3"/>
        <v>3.0186795163418538</v>
      </c>
      <c r="AI50" s="110">
        <f t="shared" si="3"/>
        <v>3.0158063607192882</v>
      </c>
    </row>
    <row r="51" spans="3:35" ht="18" hidden="1" customHeight="1" x14ac:dyDescent="0.3">
      <c r="C51" s="90">
        <v>3</v>
      </c>
      <c r="D51" s="105" t="s">
        <v>31</v>
      </c>
      <c r="E51" s="92">
        <f>(((384*$H$14*100000)/(5*$E28*E10))^(1/3))/100</f>
        <v>5.6699402649795108</v>
      </c>
      <c r="F51" s="6"/>
      <c r="G51" s="7"/>
      <c r="H51" s="7"/>
      <c r="P51" s="67" t="s">
        <v>45</v>
      </c>
    </row>
    <row r="52" spans="3:35" ht="18" hidden="1" customHeight="1" x14ac:dyDescent="0.3">
      <c r="C52" s="34"/>
      <c r="D52" s="106" t="s">
        <v>53</v>
      </c>
      <c r="E52" s="36"/>
      <c r="F52" s="6"/>
      <c r="G52" s="7"/>
      <c r="H52" s="7"/>
      <c r="P52" s="142" t="s">
        <v>34</v>
      </c>
      <c r="Q52" s="37">
        <v>45</v>
      </c>
      <c r="R52" s="68">
        <f t="shared" ref="R52:AA56" si="5">(((384*$H$14*100000)/(5*((((VLOOKUP(R$39,$I$7:$J$17,2))*$Q52)*R$38/2)+((($E$9*(1-0.088))+($E$19/$E$6))*((R$38/COS(R$39*PI()/180))/2))+$E$18)*$E$10))^(1/3))/100</f>
        <v>6.3283192455974362</v>
      </c>
      <c r="S52" s="69">
        <f t="shared" si="5"/>
        <v>6.3208461528677153</v>
      </c>
      <c r="T52" s="68">
        <f t="shared" si="5"/>
        <v>5.9631646947353341</v>
      </c>
      <c r="U52" s="70">
        <f t="shared" si="5"/>
        <v>5.9558006388122244</v>
      </c>
      <c r="V52" s="71">
        <f t="shared" si="5"/>
        <v>5.6699402649795108</v>
      </c>
      <c r="W52" s="69">
        <f t="shared" si="5"/>
        <v>5.6627180362398057</v>
      </c>
      <c r="X52" s="68">
        <f t="shared" si="5"/>
        <v>5.4270220056084675</v>
      </c>
      <c r="Y52" s="70">
        <f t="shared" si="5"/>
        <v>5.41995028738505</v>
      </c>
      <c r="Z52" s="71">
        <f t="shared" si="5"/>
        <v>5.2210185836971696</v>
      </c>
      <c r="AA52" s="69">
        <f t="shared" si="5"/>
        <v>5.2140959455782925</v>
      </c>
      <c r="AB52" s="68">
        <f t="shared" ref="AB52:AI56" si="6">(((384*$H$14*100000)/(5*((((VLOOKUP(AB$39,$I$7:$J$17,2))*$Q52)*AB$38/2)+((($E$9*(1-0.088))+($E$19/$E$6))*((AB$38/COS(AB$39*PI()/180))/2))+$E$18)*$E$10))^(1/3))/100</f>
        <v>5.0431122841505927</v>
      </c>
      <c r="AC52" s="70">
        <f t="shared" si="6"/>
        <v>5.036333032018776</v>
      </c>
      <c r="AD52" s="71">
        <f t="shared" si="6"/>
        <v>4.8872161993906946</v>
      </c>
      <c r="AE52" s="69">
        <f t="shared" si="6"/>
        <v>4.8805729915157068</v>
      </c>
      <c r="AF52" s="68">
        <f t="shared" si="6"/>
        <v>4.7489678601448055</v>
      </c>
      <c r="AG52" s="70">
        <f t="shared" si="6"/>
        <v>4.7424529217684803</v>
      </c>
      <c r="AH52" s="71">
        <f t="shared" si="6"/>
        <v>4.625143687947574</v>
      </c>
      <c r="AI52" s="70">
        <f t="shared" si="6"/>
        <v>4.6187493791624918</v>
      </c>
    </row>
    <row r="53" spans="3:35" ht="18" hidden="1" customHeight="1" x14ac:dyDescent="0.3">
      <c r="C53" s="34"/>
      <c r="D53" s="35"/>
      <c r="E53" s="36"/>
      <c r="F53" s="6"/>
      <c r="G53" s="7"/>
      <c r="H53" s="7"/>
      <c r="P53" s="143"/>
      <c r="Q53" s="38">
        <v>55</v>
      </c>
      <c r="R53" s="72">
        <f t="shared" si="5"/>
        <v>6.0432156864293676</v>
      </c>
      <c r="S53" s="73">
        <f t="shared" si="5"/>
        <v>6.036999104913007</v>
      </c>
      <c r="T53" s="72">
        <f t="shared" si="5"/>
        <v>5.6833120078705965</v>
      </c>
      <c r="U53" s="74">
        <f t="shared" si="5"/>
        <v>5.6772340202375631</v>
      </c>
      <c r="V53" s="75">
        <f t="shared" si="5"/>
        <v>5.3962408598178051</v>
      </c>
      <c r="W53" s="73">
        <f t="shared" si="5"/>
        <v>5.390313311150198</v>
      </c>
      <c r="X53" s="72">
        <f t="shared" si="5"/>
        <v>5.1595867189508873</v>
      </c>
      <c r="Y53" s="74">
        <f t="shared" si="5"/>
        <v>5.1538071240949002</v>
      </c>
      <c r="Z53" s="75">
        <f t="shared" si="5"/>
        <v>4.9596474596595819</v>
      </c>
      <c r="AA53" s="73">
        <f t="shared" si="5"/>
        <v>4.9540082499245699</v>
      </c>
      <c r="AB53" s="72">
        <f t="shared" si="6"/>
        <v>4.7874886739762674</v>
      </c>
      <c r="AC53" s="74">
        <f t="shared" si="6"/>
        <v>4.781980763553781</v>
      </c>
      <c r="AD53" s="75">
        <f t="shared" si="6"/>
        <v>4.6369899318159167</v>
      </c>
      <c r="AE53" s="73">
        <f t="shared" si="6"/>
        <v>4.6316041548775431</v>
      </c>
      <c r="AF53" s="72">
        <f t="shared" si="6"/>
        <v>4.5037916436989098</v>
      </c>
      <c r="AG53" s="74">
        <f t="shared" si="6"/>
        <v>4.4985193252785241</v>
      </c>
      <c r="AH53" s="75">
        <f t="shared" si="6"/>
        <v>4.3846886062219088</v>
      </c>
      <c r="AI53" s="74">
        <f t="shared" si="6"/>
        <v>4.3795217626131553</v>
      </c>
    </row>
    <row r="54" spans="3:35" ht="18" hidden="1" customHeight="1" x14ac:dyDescent="0.3">
      <c r="C54" s="34"/>
      <c r="D54" s="35"/>
      <c r="E54" s="36"/>
      <c r="F54" s="6"/>
      <c r="G54" s="7"/>
      <c r="H54" s="7"/>
      <c r="P54" s="143"/>
      <c r="Q54" s="38">
        <v>65</v>
      </c>
      <c r="R54" s="72">
        <f t="shared" si="5"/>
        <v>5.8034083789948738</v>
      </c>
      <c r="S54" s="73">
        <f t="shared" si="5"/>
        <v>5.7981201051925275</v>
      </c>
      <c r="T54" s="72">
        <f t="shared" si="5"/>
        <v>5.4495488643064842</v>
      </c>
      <c r="U54" s="74">
        <f t="shared" si="5"/>
        <v>5.444409541076892</v>
      </c>
      <c r="V54" s="75">
        <f t="shared" si="5"/>
        <v>5.1687453064288391</v>
      </c>
      <c r="W54" s="73">
        <f t="shared" si="5"/>
        <v>5.1637545549419936</v>
      </c>
      <c r="X54" s="72">
        <f t="shared" si="5"/>
        <v>4.9381193602879083</v>
      </c>
      <c r="Y54" s="74">
        <f t="shared" si="5"/>
        <v>4.9332686651074296</v>
      </c>
      <c r="Z54" s="75">
        <f t="shared" si="5"/>
        <v>4.7438236102298257</v>
      </c>
      <c r="AA54" s="73">
        <f t="shared" si="5"/>
        <v>4.7391024093687983</v>
      </c>
      <c r="AB54" s="72">
        <f t="shared" si="6"/>
        <v>4.5768954533640098</v>
      </c>
      <c r="AC54" s="74">
        <f t="shared" si="6"/>
        <v>4.5722932491794941</v>
      </c>
      <c r="AD54" s="75">
        <f t="shared" si="6"/>
        <v>4.4312303534114417</v>
      </c>
      <c r="AE54" s="73">
        <f t="shared" si="6"/>
        <v>4.4267374258967207</v>
      </c>
      <c r="AF54" s="72">
        <f t="shared" si="6"/>
        <v>4.3025000169120782</v>
      </c>
      <c r="AG54" s="74">
        <f t="shared" si="6"/>
        <v>4.2981076132230704</v>
      </c>
      <c r="AH54" s="75">
        <f t="shared" si="6"/>
        <v>4.1875342303394127</v>
      </c>
      <c r="AI54" s="74">
        <f t="shared" si="6"/>
        <v>4.1832345551546348</v>
      </c>
    </row>
    <row r="55" spans="3:35" ht="18" hidden="1" customHeight="1" x14ac:dyDescent="0.3">
      <c r="C55" s="34"/>
      <c r="D55" s="35"/>
      <c r="E55" s="36"/>
      <c r="F55" s="6"/>
      <c r="G55" s="7"/>
      <c r="H55" s="7"/>
      <c r="P55" s="143"/>
      <c r="Q55" s="39">
        <v>90</v>
      </c>
      <c r="R55" s="76">
        <f t="shared" si="5"/>
        <v>5.3367122076648972</v>
      </c>
      <c r="S55" s="77">
        <f t="shared" si="5"/>
        <v>5.3329290670673277</v>
      </c>
      <c r="T55" s="76">
        <f t="shared" si="5"/>
        <v>4.9983735632237325</v>
      </c>
      <c r="U55" s="78">
        <f t="shared" si="5"/>
        <v>4.9947347012530408</v>
      </c>
      <c r="V55" s="79">
        <f t="shared" si="5"/>
        <v>4.7322260040228805</v>
      </c>
      <c r="W55" s="77">
        <f t="shared" si="5"/>
        <v>4.7287178204852598</v>
      </c>
      <c r="X55" s="76">
        <f t="shared" si="5"/>
        <v>4.5150079861304162</v>
      </c>
      <c r="Y55" s="78">
        <f t="shared" si="5"/>
        <v>4.5116164789973503</v>
      </c>
      <c r="Z55" s="79">
        <f t="shared" si="5"/>
        <v>4.3328739286777394</v>
      </c>
      <c r="AA55" s="77">
        <f t="shared" si="5"/>
        <v>4.3295865612683109</v>
      </c>
      <c r="AB55" s="76">
        <f t="shared" si="6"/>
        <v>4.1769730700883692</v>
      </c>
      <c r="AC55" s="78">
        <f t="shared" si="6"/>
        <v>4.173779046886513</v>
      </c>
      <c r="AD55" s="79">
        <f t="shared" si="6"/>
        <v>4.0413346709710449</v>
      </c>
      <c r="AE55" s="77">
        <f t="shared" si="6"/>
        <v>4.0382247889699867</v>
      </c>
      <c r="AF55" s="76">
        <f t="shared" si="6"/>
        <v>3.9217575866336305</v>
      </c>
      <c r="AG55" s="78">
        <f t="shared" si="6"/>
        <v>3.9187239970507823</v>
      </c>
      <c r="AH55" s="79">
        <f t="shared" si="6"/>
        <v>3.8151839010216566</v>
      </c>
      <c r="AI55" s="78">
        <f t="shared" si="6"/>
        <v>3.8122198793273099</v>
      </c>
    </row>
    <row r="56" spans="3:35" ht="18" hidden="1" customHeight="1" x14ac:dyDescent="0.25">
      <c r="C56" s="34"/>
      <c r="D56" s="34"/>
      <c r="E56" s="88"/>
      <c r="F56" s="8"/>
      <c r="G56" s="7"/>
      <c r="H56" s="7"/>
      <c r="P56" s="143"/>
      <c r="Q56" s="99">
        <v>140</v>
      </c>
      <c r="R56" s="104">
        <f t="shared" si="5"/>
        <v>4.7207409867779173</v>
      </c>
      <c r="S56" s="104">
        <f t="shared" si="5"/>
        <v>4.7184236585623101</v>
      </c>
      <c r="T56" s="104">
        <f t="shared" si="5"/>
        <v>4.4092669779413356</v>
      </c>
      <c r="U56" s="104">
        <f t="shared" si="5"/>
        <v>4.4070624553557094</v>
      </c>
      <c r="V56" s="104">
        <f t="shared" si="5"/>
        <v>4.1665176530939245</v>
      </c>
      <c r="W56" s="104">
        <f t="shared" si="5"/>
        <v>4.1644084534621655</v>
      </c>
      <c r="X56" s="104">
        <f t="shared" si="5"/>
        <v>3.9696992814316756</v>
      </c>
      <c r="Y56" s="104">
        <f t="shared" si="5"/>
        <v>3.9676716078566794</v>
      </c>
      <c r="Z56" s="104">
        <f t="shared" si="5"/>
        <v>3.8054819172963961</v>
      </c>
      <c r="AA56" s="104">
        <f t="shared" si="5"/>
        <v>3.8035248976605209</v>
      </c>
      <c r="AB56" s="104">
        <f t="shared" si="6"/>
        <v>3.6654540965386224</v>
      </c>
      <c r="AC56" s="104">
        <f t="shared" si="6"/>
        <v>3.6635590589998177</v>
      </c>
      <c r="AD56" s="104">
        <f t="shared" si="6"/>
        <v>3.5439975531695098</v>
      </c>
      <c r="AE56" s="104">
        <f t="shared" si="6"/>
        <v>3.5421574765794204</v>
      </c>
      <c r="AF56" s="104">
        <f t="shared" si="6"/>
        <v>3.4371901686459991</v>
      </c>
      <c r="AG56" s="104">
        <f t="shared" si="6"/>
        <v>3.4353992840884944</v>
      </c>
      <c r="AH56" s="104">
        <f t="shared" si="6"/>
        <v>3.3421953407734719</v>
      </c>
      <c r="AI56" s="104">
        <f t="shared" si="6"/>
        <v>3.3404488435553743</v>
      </c>
    </row>
    <row r="57" spans="3:35" ht="18" customHeight="1" x14ac:dyDescent="0.3">
      <c r="C57" s="91">
        <v>4</v>
      </c>
      <c r="D57" s="119" t="s">
        <v>55</v>
      </c>
      <c r="E57" s="93">
        <f>1.14*((((384*$H$14*100000)/(5*$E30*E10))^(1/3))/100)</f>
        <v>6.251033165095742</v>
      </c>
      <c r="P57" s="67" t="s">
        <v>46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3:35" ht="18" customHeight="1" x14ac:dyDescent="0.25">
      <c r="P58" s="123" t="s">
        <v>34</v>
      </c>
      <c r="Q58" s="37">
        <v>45</v>
      </c>
      <c r="R58" s="107">
        <f>1.14*((((384*$H$14*100000)/(5*((((VLOOKUP(R$39,$I$7:$J$17,2))*$Q58)*R$38/2)+((($E$9*(1-0.088))+($E$21/$E$6))*((R$38/COS(R$39*PI()/180))/2))+$E$18)*$E$10))^(1/3))/100)</f>
        <v>6.9931969508934273</v>
      </c>
      <c r="S58" s="107">
        <f t="shared" ref="S58:AI62" si="7">1.14*((((384*$H$14*100000)/(5*((((VLOOKUP(S$39,$I$7:$J$17,2))*$Q58)*S$38/2)+((($E$9*(1-0.088))+($E$21/$E$6))*((S$38/COS(S$39*PI()/180))/2))+$E$18)*$E$10))^(1/3))/100)</f>
        <v>6.9792012252484916</v>
      </c>
      <c r="T58" s="107">
        <f t="shared" si="7"/>
        <v>6.5807211342804575</v>
      </c>
      <c r="U58" s="107">
        <f t="shared" si="7"/>
        <v>6.5670052401091281</v>
      </c>
      <c r="V58" s="107">
        <f t="shared" si="7"/>
        <v>6.251033165095742</v>
      </c>
      <c r="W58" s="107">
        <f t="shared" si="7"/>
        <v>6.2376343293376353</v>
      </c>
      <c r="X58" s="107">
        <f t="shared" si="7"/>
        <v>5.9788352775878639</v>
      </c>
      <c r="Y58" s="107">
        <f t="shared" si="7"/>
        <v>5.965754477008077</v>
      </c>
      <c r="Z58" s="107">
        <f t="shared" si="7"/>
        <v>5.7486014030709001</v>
      </c>
      <c r="AA58" s="107">
        <f t="shared" si="7"/>
        <v>5.7358258816959458</v>
      </c>
      <c r="AB58" s="107">
        <f t="shared" si="7"/>
        <v>5.5501773268638761</v>
      </c>
      <c r="AC58" s="107">
        <f t="shared" si="7"/>
        <v>5.5376895321486606</v>
      </c>
      <c r="AD58" s="107">
        <f t="shared" si="7"/>
        <v>5.3765906570209463</v>
      </c>
      <c r="AE58" s="107">
        <f t="shared" si="7"/>
        <v>5.3643719846738653</v>
      </c>
      <c r="AF58" s="107">
        <f t="shared" si="7"/>
        <v>5.2228655876918095</v>
      </c>
      <c r="AG58" s="107">
        <f t="shared" si="7"/>
        <v>5.2108979671203333</v>
      </c>
      <c r="AH58" s="107">
        <f t="shared" si="7"/>
        <v>5.0853382087727113</v>
      </c>
      <c r="AI58" s="107">
        <f t="shared" si="7"/>
        <v>5.0736047387421603</v>
      </c>
    </row>
    <row r="59" spans="3:35" ht="18" customHeight="1" x14ac:dyDescent="0.25">
      <c r="P59" s="124"/>
      <c r="Q59" s="38">
        <v>55</v>
      </c>
      <c r="R59" s="108">
        <f t="shared" ref="R59:AG62" si="8">1.14*((((384*$H$14*100000)/(5*((((VLOOKUP(R$39,$I$7:$J$17,2))*$Q59)*R$38/2)+((($E$9*(1-0.088))+($E$21/$E$6))*((R$38/COS(R$39*PI()/180))/2))+$E$18)*$E$10))^(1/3))/100)</f>
        <v>6.7039691600783282</v>
      </c>
      <c r="S59" s="108">
        <f t="shared" si="8"/>
        <v>6.6921434537341851</v>
      </c>
      <c r="T59" s="108">
        <f t="shared" si="8"/>
        <v>6.2981743849533496</v>
      </c>
      <c r="U59" s="108">
        <f t="shared" si="8"/>
        <v>6.2866607624892996</v>
      </c>
      <c r="V59" s="108">
        <f t="shared" si="8"/>
        <v>5.9756403181442641</v>
      </c>
      <c r="W59" s="108">
        <f t="shared" si="8"/>
        <v>5.9644450943434695</v>
      </c>
      <c r="X59" s="108">
        <f t="shared" si="8"/>
        <v>5.7104327318203065</v>
      </c>
      <c r="Y59" s="108">
        <f t="shared" si="8"/>
        <v>5.6995412141595088</v>
      </c>
      <c r="Z59" s="108">
        <f t="shared" si="8"/>
        <v>5.4868060823517846</v>
      </c>
      <c r="AA59" s="108">
        <f t="shared" si="8"/>
        <v>5.4761974374247648</v>
      </c>
      <c r="AB59" s="108">
        <f t="shared" si="8"/>
        <v>5.2945457198805412</v>
      </c>
      <c r="AC59" s="108">
        <f t="shared" si="8"/>
        <v>5.2841983343243157</v>
      </c>
      <c r="AD59" s="108">
        <f t="shared" si="8"/>
        <v>5.1266818710533446</v>
      </c>
      <c r="AE59" s="108">
        <f t="shared" si="8"/>
        <v>5.1165752969649869</v>
      </c>
      <c r="AF59" s="108">
        <f t="shared" si="8"/>
        <v>4.9782656920301926</v>
      </c>
      <c r="AG59" s="108">
        <f t="shared" si="8"/>
        <v>4.9683812732038746</v>
      </c>
      <c r="AH59" s="108">
        <f t="shared" si="7"/>
        <v>4.8456682083837679</v>
      </c>
      <c r="AI59" s="108">
        <f t="shared" si="7"/>
        <v>4.8359891812544262</v>
      </c>
    </row>
    <row r="60" spans="3:35" ht="17.399999999999999" customHeight="1" x14ac:dyDescent="0.25">
      <c r="P60" s="124"/>
      <c r="Q60" s="38">
        <v>65</v>
      </c>
      <c r="R60" s="108">
        <f t="shared" si="8"/>
        <v>6.4573367025441248</v>
      </c>
      <c r="S60" s="108">
        <f t="shared" si="7"/>
        <v>6.4471537060391677</v>
      </c>
      <c r="T60" s="108">
        <f t="shared" si="7"/>
        <v>6.058646688821999</v>
      </c>
      <c r="U60" s="108">
        <f t="shared" si="7"/>
        <v>6.0487832134396173</v>
      </c>
      <c r="V60" s="108">
        <f t="shared" si="7"/>
        <v>5.7431448659120488</v>
      </c>
      <c r="W60" s="108">
        <f t="shared" si="7"/>
        <v>5.7335888572029114</v>
      </c>
      <c r="X60" s="108">
        <f t="shared" si="7"/>
        <v>5.4845394408172927</v>
      </c>
      <c r="Y60" s="108">
        <f t="shared" si="7"/>
        <v>5.4752676906994013</v>
      </c>
      <c r="Z60" s="108">
        <f t="shared" si="7"/>
        <v>5.2670014430318659</v>
      </c>
      <c r="AA60" s="108">
        <f t="shared" si="7"/>
        <v>5.2579892832881212</v>
      </c>
      <c r="AB60" s="108">
        <f t="shared" si="7"/>
        <v>5.0803262519612904</v>
      </c>
      <c r="AC60" s="108">
        <f t="shared" si="7"/>
        <v>5.0715505905679432</v>
      </c>
      <c r="AD60" s="108">
        <f t="shared" si="7"/>
        <v>4.9175846917929906</v>
      </c>
      <c r="AE60" s="108">
        <f t="shared" si="7"/>
        <v>4.9090248297504964</v>
      </c>
      <c r="AF60" s="108">
        <f t="shared" si="7"/>
        <v>4.7738758101852197</v>
      </c>
      <c r="AG60" s="108">
        <f t="shared" si="7"/>
        <v>4.7655134873321288</v>
      </c>
      <c r="AH60" s="108">
        <f t="shared" si="7"/>
        <v>4.645617145988739</v>
      </c>
      <c r="AI60" s="108">
        <f t="shared" si="7"/>
        <v>4.6374363304732391</v>
      </c>
    </row>
    <row r="61" spans="3:35" ht="17.399999999999999" customHeight="1" x14ac:dyDescent="0.25">
      <c r="P61" s="124"/>
      <c r="Q61" s="38">
        <v>90</v>
      </c>
      <c r="R61" s="108">
        <f t="shared" si="8"/>
        <v>5.9692708288458229</v>
      </c>
      <c r="S61" s="108">
        <f t="shared" si="7"/>
        <v>5.9618297736317922</v>
      </c>
      <c r="T61" s="108">
        <f t="shared" si="7"/>
        <v>5.5880409679580128</v>
      </c>
      <c r="U61" s="108">
        <f t="shared" si="7"/>
        <v>5.5808981402720272</v>
      </c>
      <c r="V61" s="108">
        <f t="shared" si="7"/>
        <v>5.2886581944372288</v>
      </c>
      <c r="W61" s="108">
        <f t="shared" si="7"/>
        <v>5.2817815601678575</v>
      </c>
      <c r="X61" s="108">
        <f t="shared" si="7"/>
        <v>5.0446084614253</v>
      </c>
      <c r="Y61" s="108">
        <f t="shared" si="7"/>
        <v>5.0379674156134939</v>
      </c>
      <c r="Z61" s="108">
        <f t="shared" si="7"/>
        <v>4.8401607649875782</v>
      </c>
      <c r="AA61" s="108">
        <f t="shared" si="7"/>
        <v>4.833728752074169</v>
      </c>
      <c r="AB61" s="108">
        <f t="shared" si="7"/>
        <v>4.6652828428614574</v>
      </c>
      <c r="AC61" s="108">
        <f t="shared" si="7"/>
        <v>4.6590373940861456</v>
      </c>
      <c r="AD61" s="108">
        <f t="shared" si="7"/>
        <v>4.5132192198201366</v>
      </c>
      <c r="AE61" s="108">
        <f t="shared" si="7"/>
        <v>4.5071413973332257</v>
      </c>
      <c r="AF61" s="108">
        <f t="shared" si="7"/>
        <v>4.37922346120091</v>
      </c>
      <c r="AG61" s="108">
        <f t="shared" si="7"/>
        <v>4.3732972424728098</v>
      </c>
      <c r="AH61" s="108">
        <f t="shared" si="7"/>
        <v>4.2598448115359151</v>
      </c>
      <c r="AI61" s="108">
        <f t="shared" si="7"/>
        <v>4.2540565505797892</v>
      </c>
    </row>
    <row r="62" spans="3:35" ht="18" customHeight="1" x14ac:dyDescent="0.3">
      <c r="C62" s="34"/>
      <c r="D62" s="34"/>
      <c r="E62" s="89"/>
      <c r="P62" s="125"/>
      <c r="Q62" s="111">
        <v>140</v>
      </c>
      <c r="R62" s="110">
        <f t="shared" si="8"/>
        <v>5.3106755887751049</v>
      </c>
      <c r="S62" s="110">
        <f t="shared" si="7"/>
        <v>5.3060104059256572</v>
      </c>
      <c r="T62" s="110">
        <f t="shared" si="7"/>
        <v>4.9590814180034366</v>
      </c>
      <c r="U62" s="110">
        <f t="shared" si="7"/>
        <v>4.9546476703650448</v>
      </c>
      <c r="V62" s="110">
        <f t="shared" si="7"/>
        <v>4.6852858191980076</v>
      </c>
      <c r="W62" s="110">
        <f t="shared" si="7"/>
        <v>4.6810466349056803</v>
      </c>
      <c r="X62" s="110">
        <f t="shared" si="7"/>
        <v>4.4634221845169133</v>
      </c>
      <c r="Y62" s="110">
        <f t="shared" si="7"/>
        <v>4.4593488525817007</v>
      </c>
      <c r="Z62" s="110">
        <f t="shared" si="7"/>
        <v>4.2783866484179409</v>
      </c>
      <c r="AA62" s="110">
        <f t="shared" si="7"/>
        <v>4.2744567183348732</v>
      </c>
      <c r="AB62" s="110">
        <f t="shared" si="7"/>
        <v>4.1206590093760962</v>
      </c>
      <c r="AC62" s="110">
        <f t="shared" si="7"/>
        <v>4.1168546646518207</v>
      </c>
      <c r="AD62" s="110">
        <f t="shared" si="7"/>
        <v>3.9838858686456073</v>
      </c>
      <c r="AE62" s="110">
        <f t="shared" si="7"/>
        <v>3.9801927359853524</v>
      </c>
      <c r="AF62" s="110">
        <f t="shared" si="7"/>
        <v>3.8636349006914767</v>
      </c>
      <c r="AG62" s="110">
        <f t="shared" si="7"/>
        <v>3.8600412020767392</v>
      </c>
      <c r="AH62" s="110">
        <f t="shared" si="7"/>
        <v>3.7567022572097777</v>
      </c>
      <c r="AI62" s="110">
        <f t="shared" si="7"/>
        <v>3.7531982037610807</v>
      </c>
    </row>
    <row r="63" spans="3:35" ht="18" hidden="1" customHeight="1" x14ac:dyDescent="0.3">
      <c r="C63" s="90">
        <v>5</v>
      </c>
      <c r="D63" s="105" t="s">
        <v>31</v>
      </c>
      <c r="E63" s="94">
        <f>(((384*$H$15*100000)/(5*$E32*E10))^(1/3))/100</f>
        <v>6.271679143206212</v>
      </c>
      <c r="P63" s="67" t="s">
        <v>47</v>
      </c>
    </row>
    <row r="64" spans="3:35" ht="18" hidden="1" customHeight="1" x14ac:dyDescent="0.25">
      <c r="C64" s="34"/>
      <c r="D64" s="106" t="s">
        <v>53</v>
      </c>
      <c r="P64" s="142" t="s">
        <v>34</v>
      </c>
      <c r="Q64" s="37">
        <v>45</v>
      </c>
      <c r="R64" s="68">
        <f t="shared" ref="R64:AI64" si="9">(((384*$H$15*100000)/(5*((((VLOOKUP(R$39,$I$7:$J$17,2))*$Q52)*R$38/2)+((($E$9*(1-0.088))+($E$19/$E$6))*((R$38/COS(R$39*PI()/180))/2))+($E$16+(2*$E$17)))*$E$10))^(1/3))/100</f>
        <v>6.9175180894830737</v>
      </c>
      <c r="S64" s="69">
        <f t="shared" si="9"/>
        <v>6.9103626964142837</v>
      </c>
      <c r="T64" s="68">
        <f t="shared" si="9"/>
        <v>6.5630867906933679</v>
      </c>
      <c r="U64" s="70">
        <f t="shared" si="9"/>
        <v>6.5558405250376746</v>
      </c>
      <c r="V64" s="71">
        <f t="shared" si="9"/>
        <v>6.271679143206212</v>
      </c>
      <c r="W64" s="69">
        <f t="shared" si="9"/>
        <v>6.2644288919649309</v>
      </c>
      <c r="X64" s="68">
        <f t="shared" si="9"/>
        <v>6.0259780361285298</v>
      </c>
      <c r="Y64" s="70">
        <f t="shared" si="9"/>
        <v>6.0187696219848341</v>
      </c>
      <c r="Z64" s="71">
        <f t="shared" si="9"/>
        <v>5.8147514193375684</v>
      </c>
      <c r="AA64" s="69">
        <f t="shared" si="9"/>
        <v>5.8076094455983904</v>
      </c>
      <c r="AB64" s="68">
        <f t="shared" si="9"/>
        <v>5.6303364427938742</v>
      </c>
      <c r="AC64" s="70">
        <f t="shared" si="9"/>
        <v>5.6232739044329785</v>
      </c>
      <c r="AD64" s="71">
        <f t="shared" si="9"/>
        <v>5.467292788144106</v>
      </c>
      <c r="AE64" s="69">
        <f t="shared" si="9"/>
        <v>5.4603160670622621</v>
      </c>
      <c r="AF64" s="68">
        <f t="shared" si="9"/>
        <v>5.3216314683407511</v>
      </c>
      <c r="AG64" s="70">
        <f t="shared" si="9"/>
        <v>5.3147430747958717</v>
      </c>
      <c r="AH64" s="71">
        <f t="shared" si="9"/>
        <v>5.1903486551660647</v>
      </c>
      <c r="AI64" s="70">
        <f t="shared" si="9"/>
        <v>5.1835487976598378</v>
      </c>
    </row>
    <row r="65" spans="3:35" ht="18" hidden="1" customHeight="1" x14ac:dyDescent="0.25">
      <c r="C65" s="34"/>
      <c r="D65" s="35"/>
      <c r="P65" s="143"/>
      <c r="Q65" s="38">
        <v>55</v>
      </c>
      <c r="R65" s="72">
        <f t="shared" ref="R65:AI65" si="10">(((384*$H$15*100000)/(5*((((VLOOKUP(R$39,$I$7:$J$17,2))*$Q53)*R$38/2)+((($E$9*(1-0.088))+($E$19/$E$6))*((R$38/COS(R$39*PI()/180))/2))+($E$16+(2*$E$17)))*$E$10))^(1/3))/100</f>
        <v>6.6416109559379857</v>
      </c>
      <c r="S65" s="73">
        <f t="shared" si="10"/>
        <v>6.635529196585952</v>
      </c>
      <c r="T65" s="72">
        <f t="shared" si="10"/>
        <v>6.285093731928912</v>
      </c>
      <c r="U65" s="74">
        <f t="shared" si="10"/>
        <v>6.278997725654806</v>
      </c>
      <c r="V65" s="75">
        <f t="shared" si="10"/>
        <v>5.9945794413700018</v>
      </c>
      <c r="W65" s="73">
        <f t="shared" si="10"/>
        <v>5.9885263136864468</v>
      </c>
      <c r="X65" s="72">
        <f t="shared" si="10"/>
        <v>5.7512760914918184</v>
      </c>
      <c r="Y65" s="74">
        <f t="shared" si="10"/>
        <v>5.7452930494375662</v>
      </c>
      <c r="Z65" s="75">
        <f t="shared" si="10"/>
        <v>5.5432082372029177</v>
      </c>
      <c r="AA65" s="73">
        <f t="shared" si="10"/>
        <v>5.5373078445240118</v>
      </c>
      <c r="AB65" s="72">
        <f t="shared" si="10"/>
        <v>5.3623165315094559</v>
      </c>
      <c r="AC65" s="74">
        <f t="shared" si="10"/>
        <v>5.3565037843579901</v>
      </c>
      <c r="AD65" s="75">
        <f t="shared" si="10"/>
        <v>5.2029410071505025</v>
      </c>
      <c r="AE65" s="73">
        <f t="shared" si="10"/>
        <v>5.197216861528295</v>
      </c>
      <c r="AF65" s="72">
        <f t="shared" si="10"/>
        <v>5.0609682744359734</v>
      </c>
      <c r="AG65" s="74">
        <f t="shared" si="10"/>
        <v>5.0553315035506747</v>
      </c>
      <c r="AH65" s="75">
        <f t="shared" si="10"/>
        <v>4.9333236042555511</v>
      </c>
      <c r="AI65" s="74">
        <f t="shared" si="10"/>
        <v>4.9277718169725997</v>
      </c>
    </row>
    <row r="66" spans="3:35" ht="18" hidden="1" customHeight="1" x14ac:dyDescent="0.25">
      <c r="C66" s="34"/>
      <c r="D66" s="35"/>
      <c r="P66" s="143"/>
      <c r="Q66" s="38">
        <v>65</v>
      </c>
      <c r="R66" s="72">
        <f t="shared" ref="R66:AI66" si="11">(((384*$H$15*100000)/(5*((((VLOOKUP(R$39,$I$7:$J$17,2))*$Q54)*R$38/2)+((($E$9*(1-0.088))+($E$19/$E$6))*((R$38/COS(R$39*PI()/180))/2))+($E$16+(2*$E$17)))*$E$10))^(1/3))/100</f>
        <v>6.4050430534377618</v>
      </c>
      <c r="S66" s="73">
        <f t="shared" si="11"/>
        <v>6.3997816006800212</v>
      </c>
      <c r="T66" s="72">
        <f t="shared" si="11"/>
        <v>6.0489197299021109</v>
      </c>
      <c r="U66" s="74">
        <f t="shared" si="11"/>
        <v>6.0436885331369039</v>
      </c>
      <c r="V66" s="75">
        <f t="shared" si="11"/>
        <v>5.7607531467658308</v>
      </c>
      <c r="W66" s="73">
        <f t="shared" si="11"/>
        <v>5.755589450967495</v>
      </c>
      <c r="X66" s="72">
        <f t="shared" si="11"/>
        <v>5.5206738475246517</v>
      </c>
      <c r="Y66" s="74">
        <f t="shared" si="11"/>
        <v>5.5155929798233281</v>
      </c>
      <c r="Z66" s="75">
        <f t="shared" si="11"/>
        <v>5.3161925125552605</v>
      </c>
      <c r="AA66" s="73">
        <f t="shared" si="11"/>
        <v>5.3111996698594908</v>
      </c>
      <c r="AB66" s="72">
        <f t="shared" si="11"/>
        <v>5.1389919083173448</v>
      </c>
      <c r="AC66" s="74">
        <f t="shared" si="11"/>
        <v>5.1340873926389143</v>
      </c>
      <c r="AD66" s="75">
        <f t="shared" si="11"/>
        <v>4.9832793705560325</v>
      </c>
      <c r="AE66" s="73">
        <f t="shared" si="11"/>
        <v>4.9784610916289687</v>
      </c>
      <c r="AF66" s="72">
        <f t="shared" si="11"/>
        <v>4.8448734150445496</v>
      </c>
      <c r="AG66" s="74">
        <f t="shared" si="11"/>
        <v>4.8401381499285741</v>
      </c>
      <c r="AH66" s="75">
        <f t="shared" si="11"/>
        <v>4.7206658534564045</v>
      </c>
      <c r="AI66" s="74">
        <f t="shared" si="11"/>
        <v>4.7160099023518027</v>
      </c>
    </row>
    <row r="67" spans="3:35" ht="18" hidden="1" customHeight="1" x14ac:dyDescent="0.25">
      <c r="C67" s="34"/>
      <c r="D67" s="35"/>
      <c r="P67" s="143"/>
      <c r="Q67" s="39">
        <v>90</v>
      </c>
      <c r="R67" s="76">
        <f t="shared" ref="R67:AI67" si="12">(((384*$H$15*100000)/(5*((((VLOOKUP(R$39,$I$7:$J$17,2))*$Q55)*R$38/2)+((($E$9*(1-0.088))+($E$19/$E$6))*((R$38/COS(R$39*PI()/180))/2))+($E$16+(2*$E$17)))*$E$10))^(1/3))/100</f>
        <v>5.9336925142369132</v>
      </c>
      <c r="S67" s="77">
        <f t="shared" si="12"/>
        <v>5.9298158000995738</v>
      </c>
      <c r="T67" s="76">
        <f t="shared" si="12"/>
        <v>5.5836814332453093</v>
      </c>
      <c r="U67" s="78">
        <f t="shared" si="12"/>
        <v>5.5798818795955336</v>
      </c>
      <c r="V67" s="79">
        <f t="shared" si="12"/>
        <v>5.3039256170022826</v>
      </c>
      <c r="W67" s="77">
        <f t="shared" si="12"/>
        <v>5.3002136496351895</v>
      </c>
      <c r="X67" s="76">
        <f t="shared" si="12"/>
        <v>5.0729556764134234</v>
      </c>
      <c r="Y67" s="78">
        <f t="shared" si="12"/>
        <v>5.0693316372903752</v>
      </c>
      <c r="Z67" s="79">
        <f t="shared" si="12"/>
        <v>4.877595569831592</v>
      </c>
      <c r="AA67" s="77">
        <f t="shared" si="12"/>
        <v>4.8740559723431076</v>
      </c>
      <c r="AB67" s="76">
        <f t="shared" si="12"/>
        <v>4.7092282351779984</v>
      </c>
      <c r="AC67" s="78">
        <f t="shared" si="12"/>
        <v>4.7057682491259554</v>
      </c>
      <c r="AD67" s="79">
        <f t="shared" si="12"/>
        <v>4.5619368788655068</v>
      </c>
      <c r="AE67" s="77">
        <f t="shared" si="12"/>
        <v>4.5585513732457095</v>
      </c>
      <c r="AF67" s="76">
        <f t="shared" si="12"/>
        <v>4.431499080952455</v>
      </c>
      <c r="AG67" s="78">
        <f t="shared" si="12"/>
        <v>4.4281830663610071</v>
      </c>
      <c r="AH67" s="79">
        <f t="shared" si="12"/>
        <v>4.3148057223054659</v>
      </c>
      <c r="AI67" s="78">
        <f t="shared" si="12"/>
        <v>4.3115545290146802</v>
      </c>
    </row>
    <row r="68" spans="3:35" ht="18" hidden="1" customHeight="1" x14ac:dyDescent="0.3">
      <c r="C68" s="34"/>
      <c r="D68" s="34"/>
      <c r="E68" s="89"/>
      <c r="P68" s="143"/>
      <c r="Q68" s="99">
        <v>140</v>
      </c>
      <c r="R68" s="76">
        <f t="shared" ref="R68:AI68" si="13">(((384*$H$15*100000)/(5*((((VLOOKUP(R$39,$I$7:$J$17,2))*$Q56)*R$38/2)+((($E$9*(1-0.088))+($E$19/$E$6))*((R$38/COS(R$39*PI()/180))/2))+($E$16+(2*$E$17)))*$E$10))^(1/3))/100</f>
        <v>5.2917711647990506</v>
      </c>
      <c r="S68" s="76">
        <f t="shared" si="13"/>
        <v>5.2893179657381166</v>
      </c>
      <c r="T68" s="76">
        <f t="shared" si="13"/>
        <v>4.9597169339069707</v>
      </c>
      <c r="U68" s="76">
        <f t="shared" si="13"/>
        <v>4.9573507177750251</v>
      </c>
      <c r="V68" s="76">
        <f t="shared" si="13"/>
        <v>4.6979006653337612</v>
      </c>
      <c r="W68" s="76">
        <f t="shared" si="13"/>
        <v>4.6956149865163876</v>
      </c>
      <c r="X68" s="76">
        <f t="shared" si="13"/>
        <v>4.4838592856570791</v>
      </c>
      <c r="Y68" s="76">
        <f t="shared" si="13"/>
        <v>4.4816464533228215</v>
      </c>
      <c r="Z68" s="76">
        <f t="shared" si="13"/>
        <v>4.3041626223790157</v>
      </c>
      <c r="AA68" s="76">
        <f t="shared" si="13"/>
        <v>4.3020153725424919</v>
      </c>
      <c r="AB68" s="76">
        <f t="shared" si="13"/>
        <v>4.150197064382052</v>
      </c>
      <c r="AC68" s="76">
        <f t="shared" si="13"/>
        <v>4.1481089629535122</v>
      </c>
      <c r="AD68" s="76">
        <f t="shared" si="13"/>
        <v>4.0161370419320574</v>
      </c>
      <c r="AE68" s="76">
        <f t="shared" si="13"/>
        <v>4.0141025063214899</v>
      </c>
      <c r="AF68" s="76">
        <f t="shared" si="13"/>
        <v>3.8978752459779487</v>
      </c>
      <c r="AG68" s="76">
        <f t="shared" si="13"/>
        <v>3.8958894568115956</v>
      </c>
      <c r="AH68" s="76">
        <f t="shared" si="13"/>
        <v>3.7924171231574371</v>
      </c>
      <c r="AI68" s="76">
        <f t="shared" si="13"/>
        <v>3.7904759143348019</v>
      </c>
    </row>
    <row r="69" spans="3:35" ht="18" customHeight="1" x14ac:dyDescent="0.3">
      <c r="C69" s="91">
        <v>6</v>
      </c>
      <c r="D69" s="119" t="s">
        <v>56</v>
      </c>
      <c r="E69" s="94">
        <f>1.14*((((384*$H$15*100000)/(5*$E34*E10))^(1/3))/100)</f>
        <v>6.9349583134353123</v>
      </c>
      <c r="P69" s="67" t="s">
        <v>48</v>
      </c>
      <c r="Q69" s="3"/>
    </row>
    <row r="70" spans="3:35" ht="18" customHeight="1" x14ac:dyDescent="0.25">
      <c r="P70" s="123" t="s">
        <v>34</v>
      </c>
      <c r="Q70" s="37">
        <v>45</v>
      </c>
      <c r="R70" s="107">
        <f>1.14*((((384*$H$15*100000)/(5*((((VLOOKUP(R$39,$I$7:$J$17,2))*$Q58)*R$38/2)+((($E$9*(1-0.088))+($E$21/$E$6))*((R$38/COS(R$39*PI()/180))/2))+($E$16+(2*$E$17)))*$E$10))^(1/3))/100)</f>
        <v>7.6727509930408955</v>
      </c>
      <c r="S70" s="107">
        <f t="shared" ref="S70:AI74" si="14">1.14*((((384*$H$15*100000)/(5*((((VLOOKUP(S$39,$I$7:$J$17,2))*$Q58)*S$38/2)+((($E$9*(1-0.088))+($E$21/$E$6))*((S$38/COS(S$39*PI()/180))/2))+($E$16+(2*$E$17)))*$E$10))^(1/3))/100)</f>
        <v>7.6591473998728379</v>
      </c>
      <c r="T70" s="107">
        <f t="shared" si="14"/>
        <v>7.2667326870099771</v>
      </c>
      <c r="U70" s="107">
        <f t="shared" si="14"/>
        <v>7.2530547434621813</v>
      </c>
      <c r="V70" s="107">
        <f t="shared" si="14"/>
        <v>6.9349583134353123</v>
      </c>
      <c r="W70" s="107">
        <f t="shared" si="14"/>
        <v>6.9213454187284755</v>
      </c>
      <c r="X70" s="107">
        <f t="shared" si="14"/>
        <v>6.6565182345353762</v>
      </c>
      <c r="Y70" s="107">
        <f t="shared" si="14"/>
        <v>6.6430392748617155</v>
      </c>
      <c r="Z70" s="107">
        <f t="shared" si="14"/>
        <v>6.4180141982660164</v>
      </c>
      <c r="AA70" s="107">
        <f t="shared" si="14"/>
        <v>6.4047029210923592</v>
      </c>
      <c r="AB70" s="107">
        <f t="shared" si="14"/>
        <v>6.2103911488201069</v>
      </c>
      <c r="AC70" s="107">
        <f t="shared" si="14"/>
        <v>6.1972627841967514</v>
      </c>
      <c r="AD70" s="107">
        <f t="shared" si="14"/>
        <v>6.0272684603764626</v>
      </c>
      <c r="AE70" s="107">
        <f t="shared" si="14"/>
        <v>6.0143281207309816</v>
      </c>
      <c r="AF70" s="107">
        <f t="shared" si="14"/>
        <v>5.8639963069640322</v>
      </c>
      <c r="AG70" s="107">
        <f t="shared" si="14"/>
        <v>5.8512434716626816</v>
      </c>
      <c r="AH70" s="107">
        <f t="shared" si="14"/>
        <v>5.7170910746044186</v>
      </c>
      <c r="AI70" s="107">
        <f t="shared" si="14"/>
        <v>5.7045220859404981</v>
      </c>
    </row>
    <row r="71" spans="3:35" ht="18" customHeight="1" x14ac:dyDescent="0.25">
      <c r="P71" s="124"/>
      <c r="Q71" s="38">
        <v>55</v>
      </c>
      <c r="R71" s="108">
        <f t="shared" ref="R71:AG74" si="15">1.14*((((384*$H$15*100000)/(5*((((VLOOKUP(R$39,$I$7:$J$17,2))*$Q59)*R$38/2)+((($E$9*(1-0.088))+($E$21/$E$6))*((R$38/COS(R$39*PI()/180))/2))+($E$16+(2*$E$17)))*$E$10))^(1/3))/100)</f>
        <v>7.3891386034603839</v>
      </c>
      <c r="S71" s="108">
        <f t="shared" si="15"/>
        <v>7.3774331335254235</v>
      </c>
      <c r="T71" s="108">
        <f t="shared" si="15"/>
        <v>6.9827740508970617</v>
      </c>
      <c r="U71" s="108">
        <f t="shared" si="15"/>
        <v>6.9711070262421035</v>
      </c>
      <c r="V71" s="108">
        <f t="shared" si="15"/>
        <v>6.6532268382059749</v>
      </c>
      <c r="W71" s="108">
        <f t="shared" si="15"/>
        <v>6.6416895522748662</v>
      </c>
      <c r="X71" s="108">
        <f t="shared" si="15"/>
        <v>6.3782214482928312</v>
      </c>
      <c r="Y71" s="108">
        <f t="shared" si="15"/>
        <v>6.3668536192610778</v>
      </c>
      <c r="Z71" s="108">
        <f t="shared" si="15"/>
        <v>6.1436956103196554</v>
      </c>
      <c r="AA71" s="108">
        <f t="shared" si="15"/>
        <v>6.1325126488345765</v>
      </c>
      <c r="AB71" s="108">
        <f t="shared" si="15"/>
        <v>5.9402536673254867</v>
      </c>
      <c r="AC71" s="108">
        <f t="shared" si="15"/>
        <v>5.9292589550734478</v>
      </c>
      <c r="AD71" s="108">
        <f t="shared" si="15"/>
        <v>5.7613348162785289</v>
      </c>
      <c r="AE71" s="108">
        <f t="shared" si="15"/>
        <v>5.7505256587371347</v>
      </c>
      <c r="AF71" s="108">
        <f t="shared" si="15"/>
        <v>5.6021930862730338</v>
      </c>
      <c r="AG71" s="108">
        <f t="shared" si="15"/>
        <v>5.5915637558353071</v>
      </c>
      <c r="AH71" s="108">
        <f t="shared" si="14"/>
        <v>5.4592945336320415</v>
      </c>
      <c r="AI71" s="108">
        <f t="shared" si="14"/>
        <v>5.4488378835542264</v>
      </c>
    </row>
    <row r="72" spans="3:35" ht="18" customHeight="1" x14ac:dyDescent="0.25">
      <c r="P72" s="124"/>
      <c r="Q72" s="38">
        <v>65</v>
      </c>
      <c r="R72" s="108">
        <f t="shared" si="15"/>
        <v>7.1432945480086518</v>
      </c>
      <c r="S72" s="108">
        <f t="shared" si="14"/>
        <v>7.1330677296412217</v>
      </c>
      <c r="T72" s="108">
        <f t="shared" si="14"/>
        <v>6.738566918129945</v>
      </c>
      <c r="U72" s="108">
        <f t="shared" si="14"/>
        <v>6.7284449442770606</v>
      </c>
      <c r="V72" s="108">
        <f t="shared" si="14"/>
        <v>6.4123298034618408</v>
      </c>
      <c r="W72" s="108">
        <f t="shared" si="14"/>
        <v>6.4023712708522584</v>
      </c>
      <c r="X72" s="108">
        <f t="shared" si="14"/>
        <v>6.1413066868724142</v>
      </c>
      <c r="Y72" s="108">
        <f t="shared" si="14"/>
        <v>6.1315323269812643</v>
      </c>
      <c r="Z72" s="108">
        <f t="shared" si="14"/>
        <v>5.9109761744183098</v>
      </c>
      <c r="AA72" s="108">
        <f t="shared" si="14"/>
        <v>5.9013899479428851</v>
      </c>
      <c r="AB72" s="108">
        <f t="shared" si="14"/>
        <v>5.7117228965811702</v>
      </c>
      <c r="AC72" s="108">
        <f t="shared" si="14"/>
        <v>5.7023211021657323</v>
      </c>
      <c r="AD72" s="108">
        <f t="shared" si="14"/>
        <v>5.5368801607816449</v>
      </c>
      <c r="AE72" s="108">
        <f t="shared" si="14"/>
        <v>5.5276556605879366</v>
      </c>
      <c r="AF72" s="108">
        <f t="shared" si="14"/>
        <v>5.3816530441015091</v>
      </c>
      <c r="AG72" s="108">
        <f t="shared" si="14"/>
        <v>5.3725973178918425</v>
      </c>
      <c r="AH72" s="108">
        <f t="shared" si="14"/>
        <v>5.2424880741970732</v>
      </c>
      <c r="AI72" s="108">
        <f t="shared" si="14"/>
        <v>5.2335922429946784</v>
      </c>
    </row>
    <row r="73" spans="3:35" ht="18" customHeight="1" x14ac:dyDescent="0.25">
      <c r="P73" s="124"/>
      <c r="Q73" s="38">
        <v>90</v>
      </c>
      <c r="R73" s="108">
        <f t="shared" si="15"/>
        <v>6.6466635238410481</v>
      </c>
      <c r="S73" s="108">
        <f t="shared" si="14"/>
        <v>6.6389933943542259</v>
      </c>
      <c r="T73" s="108">
        <f t="shared" si="14"/>
        <v>6.2501530821196409</v>
      </c>
      <c r="U73" s="108">
        <f t="shared" si="14"/>
        <v>6.2426572281028037</v>
      </c>
      <c r="V73" s="108">
        <f t="shared" si="14"/>
        <v>5.9339983805405785</v>
      </c>
      <c r="W73" s="108">
        <f t="shared" si="14"/>
        <v>5.9266903326240046</v>
      </c>
      <c r="X73" s="108">
        <f t="shared" si="14"/>
        <v>5.6734376083062052</v>
      </c>
      <c r="Y73" s="108">
        <f t="shared" si="14"/>
        <v>5.6663136292766643</v>
      </c>
      <c r="Z73" s="108">
        <f t="shared" si="14"/>
        <v>5.4533450383272415</v>
      </c>
      <c r="AA73" s="108">
        <f t="shared" si="14"/>
        <v>5.4463953541493604</v>
      </c>
      <c r="AB73" s="108">
        <f t="shared" si="14"/>
        <v>5.2638632066587121</v>
      </c>
      <c r="AC73" s="108">
        <f t="shared" si="14"/>
        <v>5.2570763128032807</v>
      </c>
      <c r="AD73" s="108">
        <f t="shared" si="14"/>
        <v>5.0982421247945489</v>
      </c>
      <c r="AE73" s="108">
        <f t="shared" si="14"/>
        <v>5.0916065068830401</v>
      </c>
      <c r="AF73" s="108">
        <f t="shared" si="14"/>
        <v>4.9516753508393991</v>
      </c>
      <c r="AG73" s="108">
        <f t="shared" si="14"/>
        <v>4.9451801582255053</v>
      </c>
      <c r="AH73" s="108">
        <f t="shared" si="14"/>
        <v>4.8206301063136774</v>
      </c>
      <c r="AI73" s="108">
        <f t="shared" si="14"/>
        <v>4.8142653804840441</v>
      </c>
    </row>
    <row r="74" spans="3:35" ht="18" customHeight="1" x14ac:dyDescent="0.25">
      <c r="P74" s="125"/>
      <c r="Q74" s="111">
        <v>140</v>
      </c>
      <c r="R74" s="110">
        <f t="shared" si="15"/>
        <v>5.957383499566796</v>
      </c>
      <c r="S74" s="110">
        <f t="shared" si="14"/>
        <v>5.9524302447160702</v>
      </c>
      <c r="T74" s="110">
        <f t="shared" si="14"/>
        <v>5.5815596194197576</v>
      </c>
      <c r="U74" s="110">
        <f t="shared" si="14"/>
        <v>5.5767889372132329</v>
      </c>
      <c r="V74" s="110">
        <f t="shared" si="14"/>
        <v>5.2855912693483846</v>
      </c>
      <c r="W74" s="110">
        <f t="shared" si="14"/>
        <v>5.2809876475985256</v>
      </c>
      <c r="X74" s="110">
        <f t="shared" si="14"/>
        <v>5.0438398168658489</v>
      </c>
      <c r="Y74" s="110">
        <f t="shared" si="14"/>
        <v>5.0393862617599368</v>
      </c>
      <c r="Z74" s="110">
        <f t="shared" si="14"/>
        <v>4.8410119376887106</v>
      </c>
      <c r="AA74" s="110">
        <f t="shared" si="14"/>
        <v>4.8366928677551684</v>
      </c>
      <c r="AB74" s="110">
        <f t="shared" si="14"/>
        <v>4.6673158495322484</v>
      </c>
      <c r="AC74" s="110">
        <f t="shared" si="14"/>
        <v>4.6631176742978182</v>
      </c>
      <c r="AD74" s="110">
        <f t="shared" si="14"/>
        <v>4.5161379025861166</v>
      </c>
      <c r="AE74" s="110">
        <f t="shared" si="14"/>
        <v>4.5120489421252543</v>
      </c>
      <c r="AF74" s="110">
        <f t="shared" si="14"/>
        <v>4.3828200517519909</v>
      </c>
      <c r="AG74" s="110">
        <f t="shared" si="14"/>
        <v>4.3788302886608834</v>
      </c>
      <c r="AH74" s="110">
        <f t="shared" si="14"/>
        <v>4.2639691223001757</v>
      </c>
      <c r="AI74" s="110">
        <f t="shared" si="14"/>
        <v>4.2600699383725882</v>
      </c>
    </row>
    <row r="75" spans="3:35" ht="18" customHeight="1" x14ac:dyDescent="0.25"/>
    <row r="76" spans="3:35" ht="18" customHeight="1" x14ac:dyDescent="0.25"/>
    <row r="77" spans="3:35" ht="18" customHeight="1" x14ac:dyDescent="0.25"/>
    <row r="78" spans="3:35" ht="18" customHeight="1" x14ac:dyDescent="0.25"/>
    <row r="79" spans="3:35" ht="18" customHeight="1" x14ac:dyDescent="0.25"/>
    <row r="80" spans="3:35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</sheetData>
  <sheetProtection algorithmName="SHA-512" hashValue="n0OZTWmDAcbV2EJRxLYHyfQ8xmcQiLF33Ga5v9Q2fnmA+l1cc6zSOspRsqc5Y8gKqnbk0a2uhZwI1ps9hFBTLQ==" saltValue="N7YaN6bfpweTHNHjxQFiaw==" spinCount="100000" sheet="1" objects="1" scenarios="1"/>
  <mergeCells count="20">
    <mergeCell ref="B1:E1"/>
    <mergeCell ref="B2:E2"/>
    <mergeCell ref="I4:K4"/>
    <mergeCell ref="C23:C24"/>
    <mergeCell ref="C25:C26"/>
    <mergeCell ref="C27:C28"/>
    <mergeCell ref="C29:C30"/>
    <mergeCell ref="C36:D36"/>
    <mergeCell ref="C31:C32"/>
    <mergeCell ref="C33:C34"/>
    <mergeCell ref="P38:Q38"/>
    <mergeCell ref="D37:E37"/>
    <mergeCell ref="I21:K21"/>
    <mergeCell ref="I22:K22"/>
    <mergeCell ref="P64:P68"/>
    <mergeCell ref="P70:P74"/>
    <mergeCell ref="P40:P44"/>
    <mergeCell ref="P46:P50"/>
    <mergeCell ref="P52:P56"/>
    <mergeCell ref="P58:P62"/>
  </mergeCells>
  <conditionalFormatting sqref="E38:E56">
    <cfRule type="cellIs" dxfId="0" priority="1" stopIfTrue="1" operator="greaterThan">
      <formula>$E$36</formula>
    </cfRule>
  </conditionalFormatting>
  <pageMargins left="0.39370078740157483" right="0" top="0.39370078740157483" bottom="0" header="0" footer="0"/>
  <pageSetup paperSize="8" scale="89" fitToHeight="0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PORTEE vitrage</vt:lpstr>
      <vt:lpstr>PORTEE plaque</vt:lpstr>
    </vt:vector>
  </TitlesOfParts>
  <Company>FLANDRIA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</dc:creator>
  <cp:lastModifiedBy>Bart COUSSENS</cp:lastModifiedBy>
  <cp:lastPrinted>2020-10-06T09:27:01Z</cp:lastPrinted>
  <dcterms:created xsi:type="dcterms:W3CDTF">2007-01-31T10:45:57Z</dcterms:created>
  <dcterms:modified xsi:type="dcterms:W3CDTF">2021-02-18T09:41:50Z</dcterms:modified>
</cp:coreProperties>
</file>