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PATIO se/INERTIES/CALCULS/SABLIERE/"/>
    </mc:Choice>
  </mc:AlternateContent>
  <xr:revisionPtr revIDLastSave="5" documentId="13_ncr:1_{D7D7A1F8-9160-4232-8FE9-C10329EE4612}" xr6:coauthVersionLast="46" xr6:coauthVersionMax="46" xr10:uidLastSave="{63E8C62A-2C3F-4A4A-8355-E955D8B57391}"/>
  <bookViews>
    <workbookView xWindow="-108" yWindow="-108" windowWidth="23256" windowHeight="12576" xr2:uid="{00000000-000D-0000-FFFF-FFFF00000000}"/>
  </bookViews>
  <sheets>
    <sheet name="PORTEE vitrage" sheetId="1" r:id="rId1"/>
    <sheet name="PORTEE plaqu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21" i="2" l="1"/>
  <c r="J18" i="2"/>
  <c r="J19" i="2" s="1"/>
  <c r="E18" i="2"/>
  <c r="J17" i="2"/>
  <c r="J16" i="2"/>
  <c r="J15" i="2"/>
  <c r="E15" i="2"/>
  <c r="J20" i="2" s="1"/>
  <c r="J14" i="2"/>
  <c r="J13" i="2"/>
  <c r="H13" i="2"/>
  <c r="J12" i="2"/>
  <c r="H4" i="2"/>
  <c r="U49" i="2" l="1"/>
  <c r="Z46" i="2"/>
  <c r="AH46" i="2"/>
  <c r="Y47" i="2"/>
  <c r="AG47" i="2"/>
  <c r="X48" i="2"/>
  <c r="AF48" i="2"/>
  <c r="W49" i="2"/>
  <c r="AE49" i="2"/>
  <c r="V50" i="2"/>
  <c r="AD50" i="2"/>
  <c r="R49" i="2"/>
  <c r="S46" i="2"/>
  <c r="AA46" i="2"/>
  <c r="AI46" i="2"/>
  <c r="Z47" i="2"/>
  <c r="AH47" i="2"/>
  <c r="Y48" i="2"/>
  <c r="AG48" i="2"/>
  <c r="X49" i="2"/>
  <c r="AF49" i="2"/>
  <c r="W50" i="2"/>
  <c r="AE50" i="2"/>
  <c r="R50" i="2"/>
  <c r="U48" i="2"/>
  <c r="AI50" i="2"/>
  <c r="AE47" i="2"/>
  <c r="T50" i="2"/>
  <c r="R47" i="2"/>
  <c r="T46" i="2"/>
  <c r="AB46" i="2"/>
  <c r="S47" i="2"/>
  <c r="AA47" i="2"/>
  <c r="AI47" i="2"/>
  <c r="Z48" i="2"/>
  <c r="AH48" i="2"/>
  <c r="Y49" i="2"/>
  <c r="AG49" i="2"/>
  <c r="X50" i="2"/>
  <c r="AF50" i="2"/>
  <c r="R46" i="2"/>
  <c r="AD46" i="2"/>
  <c r="U47" i="2"/>
  <c r="T48" i="2"/>
  <c r="AA49" i="2"/>
  <c r="AI49" i="2"/>
  <c r="AH50" i="2"/>
  <c r="AE46" i="2"/>
  <c r="AD47" i="2"/>
  <c r="T49" i="2"/>
  <c r="AB49" i="2"/>
  <c r="AA50" i="2"/>
  <c r="X46" i="2"/>
  <c r="AD48" i="2"/>
  <c r="AB50" i="2"/>
  <c r="U46" i="2"/>
  <c r="AC46" i="2"/>
  <c r="T47" i="2"/>
  <c r="AB47" i="2"/>
  <c r="S48" i="2"/>
  <c r="AA48" i="2"/>
  <c r="AI48" i="2"/>
  <c r="Z49" i="2"/>
  <c r="AH49" i="2"/>
  <c r="Y50" i="2"/>
  <c r="AG50" i="2"/>
  <c r="V46" i="2"/>
  <c r="AC47" i="2"/>
  <c r="AB48" i="2"/>
  <c r="S49" i="2"/>
  <c r="Z50" i="2"/>
  <c r="W46" i="2"/>
  <c r="V47" i="2"/>
  <c r="AC48" i="2"/>
  <c r="S50" i="2"/>
  <c r="AF46" i="2"/>
  <c r="W47" i="2"/>
  <c r="V48" i="2"/>
  <c r="AC49" i="2"/>
  <c r="AD49" i="2"/>
  <c r="Y46" i="2"/>
  <c r="U50" i="2"/>
  <c r="AG46" i="2"/>
  <c r="X47" i="2"/>
  <c r="W48" i="2"/>
  <c r="R48" i="2"/>
  <c r="AF47" i="2"/>
  <c r="AE48" i="2"/>
  <c r="V49" i="2"/>
  <c r="AC50" i="2"/>
  <c r="AH40" i="2"/>
  <c r="S44" i="2"/>
  <c r="AA44" i="2"/>
  <c r="AI44" i="2"/>
  <c r="T44" i="2"/>
  <c r="AB44" i="2"/>
  <c r="R44" i="2"/>
  <c r="U44" i="2"/>
  <c r="AC44" i="2"/>
  <c r="V44" i="2"/>
  <c r="AD44" i="2"/>
  <c r="Z44" i="2"/>
  <c r="W44" i="2"/>
  <c r="AE44" i="2"/>
  <c r="AG44" i="2"/>
  <c r="AH44" i="2"/>
  <c r="X44" i="2"/>
  <c r="AF44" i="2"/>
  <c r="Y44" i="2"/>
  <c r="E30" i="2"/>
  <c r="E57" i="2" s="1"/>
  <c r="E24" i="2"/>
  <c r="E39" i="2" s="1"/>
  <c r="E34" i="2"/>
  <c r="E32" i="2"/>
  <c r="E28" i="2"/>
  <c r="E26" i="2"/>
  <c r="E45" i="2" s="1"/>
  <c r="T42" i="2"/>
  <c r="AF40" i="2"/>
  <c r="G32" i="2"/>
  <c r="H15" i="2"/>
  <c r="W42" i="2"/>
  <c r="V43" i="2"/>
  <c r="AH43" i="2"/>
  <c r="W41" i="2"/>
  <c r="Y40" i="2"/>
  <c r="AH41" i="2"/>
  <c r="R43" i="2"/>
  <c r="Z40" i="2"/>
  <c r="S42" i="2"/>
  <c r="U43" i="2"/>
  <c r="AI40" i="2"/>
  <c r="AA42" i="2"/>
  <c r="AC42" i="2"/>
  <c r="Z41" i="2"/>
  <c r="AE42" i="2"/>
  <c r="W40" i="2"/>
  <c r="AA41" i="2"/>
  <c r="AC41" i="2"/>
  <c r="AG42" i="2"/>
  <c r="Y43" i="2"/>
  <c r="H14" i="2"/>
  <c r="AA40" i="2"/>
  <c r="R41" i="2"/>
  <c r="U42" i="2"/>
  <c r="AF42" i="2"/>
  <c r="X43" i="2"/>
  <c r="S40" i="2"/>
  <c r="AB40" i="2"/>
  <c r="S41" i="2"/>
  <c r="AD41" i="2"/>
  <c r="T40" i="2"/>
  <c r="AC40" i="2"/>
  <c r="U41" i="2"/>
  <c r="AE41" i="2"/>
  <c r="X42" i="2"/>
  <c r="AI42" i="2"/>
  <c r="Z43" i="2"/>
  <c r="U40" i="2"/>
  <c r="AE40" i="2"/>
  <c r="V41" i="2"/>
  <c r="AG41" i="2"/>
  <c r="Y42" i="2"/>
  <c r="AC43" i="2"/>
  <c r="AD43" i="2"/>
  <c r="X40" i="2"/>
  <c r="AG40" i="2"/>
  <c r="Y41" i="2"/>
  <c r="AI41" i="2"/>
  <c r="AB42" i="2"/>
  <c r="T43" i="2"/>
  <c r="AE43" i="2"/>
  <c r="V40" i="2"/>
  <c r="AD40" i="2"/>
  <c r="T41" i="2"/>
  <c r="AB41" i="2"/>
  <c r="R42" i="2"/>
  <c r="Z42" i="2"/>
  <c r="AH42" i="2"/>
  <c r="W43" i="2"/>
  <c r="AF43" i="2"/>
  <c r="AG43" i="2"/>
  <c r="R40" i="2"/>
  <c r="X41" i="2"/>
  <c r="AF41" i="2"/>
  <c r="V42" i="2"/>
  <c r="AD42" i="2"/>
  <c r="S43" i="2"/>
  <c r="AB43" i="2"/>
  <c r="AD54" i="2"/>
  <c r="AA43" i="2"/>
  <c r="AI43" i="2"/>
  <c r="AD52" i="2"/>
  <c r="J18" i="1"/>
  <c r="J19" i="1" s="1"/>
  <c r="H4" i="1"/>
  <c r="J14" i="1"/>
  <c r="J15" i="1"/>
  <c r="J16" i="1"/>
  <c r="J17" i="1"/>
  <c r="J12" i="1"/>
  <c r="J13" i="1"/>
  <c r="E21" i="1"/>
  <c r="H13" i="1"/>
  <c r="E15" i="1"/>
  <c r="J20" i="1" s="1"/>
  <c r="E69" i="2" l="1"/>
  <c r="V70" i="2"/>
  <c r="AD70" i="2"/>
  <c r="U71" i="2"/>
  <c r="AC71" i="2"/>
  <c r="T72" i="2"/>
  <c r="AB72" i="2"/>
  <c r="S73" i="2"/>
  <c r="AA73" i="2"/>
  <c r="AI73" i="2"/>
  <c r="Z74" i="2"/>
  <c r="AH74" i="2"/>
  <c r="W70" i="2"/>
  <c r="AE70" i="2"/>
  <c r="V71" i="2"/>
  <c r="AD71" i="2"/>
  <c r="U72" i="2"/>
  <c r="AC72" i="2"/>
  <c r="T73" i="2"/>
  <c r="AB73" i="2"/>
  <c r="S74" i="2"/>
  <c r="AA74" i="2"/>
  <c r="AI74" i="2"/>
  <c r="S71" i="2"/>
  <c r="T71" i="2"/>
  <c r="AG74" i="2"/>
  <c r="X70" i="2"/>
  <c r="AF70" i="2"/>
  <c r="W71" i="2"/>
  <c r="AE71" i="2"/>
  <c r="V72" i="2"/>
  <c r="AD72" i="2"/>
  <c r="U73" i="2"/>
  <c r="AC73" i="2"/>
  <c r="T74" i="2"/>
  <c r="AB74" i="2"/>
  <c r="R71" i="2"/>
  <c r="AH70" i="2"/>
  <c r="Y71" i="2"/>
  <c r="X72" i="2"/>
  <c r="W73" i="2"/>
  <c r="V74" i="2"/>
  <c r="R73" i="2"/>
  <c r="AA70" i="2"/>
  <c r="AI70" i="2"/>
  <c r="AH71" i="2"/>
  <c r="Y72" i="2"/>
  <c r="X73" i="2"/>
  <c r="W74" i="2"/>
  <c r="R74" i="2"/>
  <c r="AB70" i="2"/>
  <c r="AA71" i="2"/>
  <c r="Z72" i="2"/>
  <c r="Y73" i="2"/>
  <c r="X74" i="2"/>
  <c r="R70" i="2"/>
  <c r="U70" i="2"/>
  <c r="AB71" i="2"/>
  <c r="AA72" i="2"/>
  <c r="Z73" i="2"/>
  <c r="Y70" i="2"/>
  <c r="AG70" i="2"/>
  <c r="X71" i="2"/>
  <c r="AF71" i="2"/>
  <c r="W72" i="2"/>
  <c r="AE72" i="2"/>
  <c r="V73" i="2"/>
  <c r="AD73" i="2"/>
  <c r="U74" i="2"/>
  <c r="AC74" i="2"/>
  <c r="R72" i="2"/>
  <c r="Z70" i="2"/>
  <c r="AG71" i="2"/>
  <c r="AF72" i="2"/>
  <c r="AE73" i="2"/>
  <c r="AD74" i="2"/>
  <c r="S70" i="2"/>
  <c r="Z71" i="2"/>
  <c r="AG72" i="2"/>
  <c r="AF73" i="2"/>
  <c r="AE74" i="2"/>
  <c r="T70" i="2"/>
  <c r="AI71" i="2"/>
  <c r="AH72" i="2"/>
  <c r="AG73" i="2"/>
  <c r="AF74" i="2"/>
  <c r="AC70" i="2"/>
  <c r="S72" i="2"/>
  <c r="AI72" i="2"/>
  <c r="Y74" i="2"/>
  <c r="AH73" i="2"/>
  <c r="T58" i="2"/>
  <c r="AB58" i="2"/>
  <c r="S59" i="2"/>
  <c r="AA59" i="2"/>
  <c r="AI59" i="2"/>
  <c r="Z60" i="2"/>
  <c r="AH60" i="2"/>
  <c r="Y61" i="2"/>
  <c r="AG61" i="2"/>
  <c r="X62" i="2"/>
  <c r="AF62" i="2"/>
  <c r="R58" i="2"/>
  <c r="U58" i="2"/>
  <c r="AC58" i="2"/>
  <c r="T59" i="2"/>
  <c r="AB59" i="2"/>
  <c r="S60" i="2"/>
  <c r="AA60" i="2"/>
  <c r="AI60" i="2"/>
  <c r="Z61" i="2"/>
  <c r="AH61" i="2"/>
  <c r="Y62" i="2"/>
  <c r="AG62" i="2"/>
  <c r="AC62" i="2"/>
  <c r="V62" i="2"/>
  <c r="V58" i="2"/>
  <c r="AD58" i="2"/>
  <c r="U59" i="2"/>
  <c r="AC59" i="2"/>
  <c r="T60" i="2"/>
  <c r="AB60" i="2"/>
  <c r="S61" i="2"/>
  <c r="AA61" i="2"/>
  <c r="AI61" i="2"/>
  <c r="Z62" i="2"/>
  <c r="AH62" i="2"/>
  <c r="AF58" i="2"/>
  <c r="V60" i="2"/>
  <c r="U61" i="2"/>
  <c r="T62" i="2"/>
  <c r="R59" i="2"/>
  <c r="AG58" i="2"/>
  <c r="AF59" i="2"/>
  <c r="AE60" i="2"/>
  <c r="AD61" i="2"/>
  <c r="R60" i="2"/>
  <c r="Y59" i="2"/>
  <c r="X60" i="2"/>
  <c r="W61" i="2"/>
  <c r="S58" i="2"/>
  <c r="W58" i="2"/>
  <c r="AE58" i="2"/>
  <c r="V59" i="2"/>
  <c r="AD59" i="2"/>
  <c r="U60" i="2"/>
  <c r="AC60" i="2"/>
  <c r="T61" i="2"/>
  <c r="AB61" i="2"/>
  <c r="S62" i="2"/>
  <c r="AA62" i="2"/>
  <c r="AI62" i="2"/>
  <c r="X58" i="2"/>
  <c r="W59" i="2"/>
  <c r="AE59" i="2"/>
  <c r="AD60" i="2"/>
  <c r="AC61" i="2"/>
  <c r="AB62" i="2"/>
  <c r="Y58" i="2"/>
  <c r="X59" i="2"/>
  <c r="W60" i="2"/>
  <c r="V61" i="2"/>
  <c r="U62" i="2"/>
  <c r="Z58" i="2"/>
  <c r="AH58" i="2"/>
  <c r="AG59" i="2"/>
  <c r="AF60" i="2"/>
  <c r="AE61" i="2"/>
  <c r="AD62" i="2"/>
  <c r="R61" i="2"/>
  <c r="AA58" i="2"/>
  <c r="Z59" i="2"/>
  <c r="R62" i="2"/>
  <c r="Y60" i="2"/>
  <c r="AG60" i="2"/>
  <c r="X61" i="2"/>
  <c r="AF61" i="2"/>
  <c r="W62" i="2"/>
  <c r="AI58" i="2"/>
  <c r="AE62" i="2"/>
  <c r="AH59" i="2"/>
  <c r="R47" i="1"/>
  <c r="S47" i="1"/>
  <c r="T47" i="1"/>
  <c r="AB47" i="1"/>
  <c r="S48" i="1"/>
  <c r="AA48" i="1"/>
  <c r="AI48" i="1"/>
  <c r="Z49" i="1"/>
  <c r="AH49" i="1"/>
  <c r="Y50" i="1"/>
  <c r="AG50" i="1"/>
  <c r="X51" i="1"/>
  <c r="AF51" i="1"/>
  <c r="AE47" i="1"/>
  <c r="AC49" i="1"/>
  <c r="AA51" i="1"/>
  <c r="AE48" i="1"/>
  <c r="U50" i="1"/>
  <c r="U47" i="1"/>
  <c r="AC47" i="1"/>
  <c r="T48" i="1"/>
  <c r="AB48" i="1"/>
  <c r="S49" i="1"/>
  <c r="AA49" i="1"/>
  <c r="AI49" i="1"/>
  <c r="Z50" i="1"/>
  <c r="AH50" i="1"/>
  <c r="Y51" i="1"/>
  <c r="AG51" i="1"/>
  <c r="AD48" i="1"/>
  <c r="T50" i="1"/>
  <c r="S51" i="1"/>
  <c r="AF47" i="1"/>
  <c r="AD49" i="1"/>
  <c r="V47" i="1"/>
  <c r="AD47" i="1"/>
  <c r="U48" i="1"/>
  <c r="AC48" i="1"/>
  <c r="T49" i="1"/>
  <c r="AB49" i="1"/>
  <c r="S50" i="1"/>
  <c r="AA50" i="1"/>
  <c r="AI50" i="1"/>
  <c r="Z51" i="1"/>
  <c r="AH51" i="1"/>
  <c r="W47" i="1"/>
  <c r="V48" i="1"/>
  <c r="U49" i="1"/>
  <c r="AB50" i="1"/>
  <c r="AI51" i="1"/>
  <c r="X47" i="1"/>
  <c r="W48" i="1"/>
  <c r="V49" i="1"/>
  <c r="AC50" i="1"/>
  <c r="Y47" i="1"/>
  <c r="AG47" i="1"/>
  <c r="X48" i="1"/>
  <c r="AF48" i="1"/>
  <c r="W49" i="1"/>
  <c r="AE49" i="1"/>
  <c r="V50" i="1"/>
  <c r="AD50" i="1"/>
  <c r="U51" i="1"/>
  <c r="AC51" i="1"/>
  <c r="R49" i="1"/>
  <c r="Z47" i="1"/>
  <c r="AH47" i="1"/>
  <c r="Y48" i="1"/>
  <c r="AG48" i="1"/>
  <c r="X49" i="1"/>
  <c r="AF49" i="1"/>
  <c r="W50" i="1"/>
  <c r="AE50" i="1"/>
  <c r="V51" i="1"/>
  <c r="AD51" i="1"/>
  <c r="R50" i="1"/>
  <c r="Y49" i="1"/>
  <c r="R48" i="1"/>
  <c r="AG49" i="1"/>
  <c r="W51" i="1"/>
  <c r="AH48" i="1"/>
  <c r="R51" i="1"/>
  <c r="X50" i="1"/>
  <c r="AF50" i="1"/>
  <c r="T51" i="1"/>
  <c r="Z48" i="1"/>
  <c r="AE51" i="1"/>
  <c r="AA47" i="1"/>
  <c r="AI47" i="1"/>
  <c r="AB51" i="1"/>
  <c r="AE53" i="2"/>
  <c r="AI54" i="2"/>
  <c r="S52" i="2"/>
  <c r="AE55" i="2"/>
  <c r="W54" i="2"/>
  <c r="AC53" i="2"/>
  <c r="T56" i="2"/>
  <c r="AB56" i="2"/>
  <c r="AI56" i="2"/>
  <c r="U56" i="2"/>
  <c r="AC56" i="2"/>
  <c r="V56" i="2"/>
  <c r="S56" i="2"/>
  <c r="AD56" i="2"/>
  <c r="AA56" i="2"/>
  <c r="W56" i="2"/>
  <c r="AE56" i="2"/>
  <c r="AH56" i="2"/>
  <c r="X56" i="2"/>
  <c r="AF56" i="2"/>
  <c r="Z56" i="2"/>
  <c r="Y56" i="2"/>
  <c r="AG56" i="2"/>
  <c r="R56" i="2"/>
  <c r="Y68" i="2"/>
  <c r="AG68" i="2"/>
  <c r="Z68" i="2"/>
  <c r="AH68" i="2"/>
  <c r="AI68" i="2"/>
  <c r="S68" i="2"/>
  <c r="AA68" i="2"/>
  <c r="X68" i="2"/>
  <c r="T68" i="2"/>
  <c r="AB68" i="2"/>
  <c r="R68" i="2"/>
  <c r="W68" i="2"/>
  <c r="AF68" i="2"/>
  <c r="U68" i="2"/>
  <c r="AC68" i="2"/>
  <c r="V68" i="2"/>
  <c r="AD68" i="2"/>
  <c r="AE68" i="2"/>
  <c r="E51" i="2"/>
  <c r="E63" i="2"/>
  <c r="E28" i="1"/>
  <c r="E26" i="1"/>
  <c r="E46" i="1" s="1"/>
  <c r="E24" i="1"/>
  <c r="E40" i="1" s="1"/>
  <c r="E32" i="1"/>
  <c r="E30" i="1"/>
  <c r="E34" i="1"/>
  <c r="X45" i="1"/>
  <c r="AF45" i="1"/>
  <c r="AH45" i="1"/>
  <c r="U45" i="1"/>
  <c r="Y45" i="1"/>
  <c r="AG45" i="1"/>
  <c r="AC45" i="1"/>
  <c r="Z45" i="1"/>
  <c r="S45" i="1"/>
  <c r="AA45" i="1"/>
  <c r="AI45" i="1"/>
  <c r="T45" i="1"/>
  <c r="AB45" i="1"/>
  <c r="R45" i="1"/>
  <c r="V45" i="1"/>
  <c r="AD45" i="1"/>
  <c r="W45" i="1"/>
  <c r="AE45" i="1"/>
  <c r="G34" i="1"/>
  <c r="G32" i="1"/>
  <c r="Z42" i="1"/>
  <c r="H15" i="1"/>
  <c r="E70" i="1" s="1"/>
  <c r="AA55" i="2"/>
  <c r="W64" i="2"/>
  <c r="AE64" i="2"/>
  <c r="V65" i="2"/>
  <c r="AD65" i="2"/>
  <c r="U66" i="2"/>
  <c r="AC66" i="2"/>
  <c r="T67" i="2"/>
  <c r="AB67" i="2"/>
  <c r="R65" i="2"/>
  <c r="X66" i="2"/>
  <c r="S64" i="2"/>
  <c r="AI64" i="2"/>
  <c r="AH65" i="2"/>
  <c r="Y66" i="2"/>
  <c r="X67" i="2"/>
  <c r="X64" i="2"/>
  <c r="AF64" i="2"/>
  <c r="W65" i="2"/>
  <c r="AE65" i="2"/>
  <c r="V66" i="2"/>
  <c r="AD66" i="2"/>
  <c r="U67" i="2"/>
  <c r="AC67" i="2"/>
  <c r="R66" i="2"/>
  <c r="Z64" i="2"/>
  <c r="AH64" i="2"/>
  <c r="Y65" i="2"/>
  <c r="AG65" i="2"/>
  <c r="AF66" i="2"/>
  <c r="AE67" i="2"/>
  <c r="R64" i="2"/>
  <c r="Z66" i="2"/>
  <c r="Y64" i="2"/>
  <c r="AG64" i="2"/>
  <c r="X65" i="2"/>
  <c r="AF65" i="2"/>
  <c r="W66" i="2"/>
  <c r="AE66" i="2"/>
  <c r="V67" i="2"/>
  <c r="AD67" i="2"/>
  <c r="R67" i="2"/>
  <c r="W67" i="2"/>
  <c r="AA64" i="2"/>
  <c r="Z65" i="2"/>
  <c r="AG66" i="2"/>
  <c r="AF67" i="2"/>
  <c r="T64" i="2"/>
  <c r="AB64" i="2"/>
  <c r="S65" i="2"/>
  <c r="AA65" i="2"/>
  <c r="AI65" i="2"/>
  <c r="AH66" i="2"/>
  <c r="Y67" i="2"/>
  <c r="AG67" i="2"/>
  <c r="U64" i="2"/>
  <c r="AC64" i="2"/>
  <c r="T65" i="2"/>
  <c r="AB65" i="2"/>
  <c r="S66" i="2"/>
  <c r="AA66" i="2"/>
  <c r="AI66" i="2"/>
  <c r="Z67" i="2"/>
  <c r="AH67" i="2"/>
  <c r="V64" i="2"/>
  <c r="AD64" i="2"/>
  <c r="U65" i="2"/>
  <c r="AC65" i="2"/>
  <c r="T66" i="2"/>
  <c r="AB66" i="2"/>
  <c r="S67" i="2"/>
  <c r="AA67" i="2"/>
  <c r="AI67" i="2"/>
  <c r="AG54" i="2"/>
  <c r="V55" i="2"/>
  <c r="Z53" i="2"/>
  <c r="AG53" i="2"/>
  <c r="AC54" i="2"/>
  <c r="AH52" i="2"/>
  <c r="S54" i="2"/>
  <c r="X52" i="2"/>
  <c r="W55" i="2"/>
  <c r="V52" i="2"/>
  <c r="V54" i="2"/>
  <c r="Y54" i="2"/>
  <c r="AF54" i="2"/>
  <c r="R53" i="2"/>
  <c r="Y53" i="2"/>
  <c r="U54" i="2"/>
  <c r="AH55" i="2"/>
  <c r="Z52" i="2"/>
  <c r="AD53" i="2"/>
  <c r="AH54" i="2"/>
  <c r="AD55" i="2"/>
  <c r="AH53" i="2"/>
  <c r="W53" i="2"/>
  <c r="AA54" i="2"/>
  <c r="AB53" i="2"/>
  <c r="X54" i="2"/>
  <c r="AC52" i="2"/>
  <c r="AB52" i="2"/>
  <c r="AF53" i="2"/>
  <c r="Z55" i="2"/>
  <c r="R52" i="2"/>
  <c r="V53" i="2"/>
  <c r="AF55" i="2"/>
  <c r="T53" i="2"/>
  <c r="AI53" i="2"/>
  <c r="AC55" i="2"/>
  <c r="U52" i="2"/>
  <c r="T52" i="2"/>
  <c r="X53" i="2"/>
  <c r="R55" i="2"/>
  <c r="Y52" i="2"/>
  <c r="AA53" i="2"/>
  <c r="U55" i="2"/>
  <c r="AB55" i="2"/>
  <c r="AI52" i="2"/>
  <c r="AB54" i="2"/>
  <c r="AG55" i="2"/>
  <c r="S55" i="2"/>
  <c r="AE52" i="2"/>
  <c r="W52" i="2"/>
  <c r="S53" i="2"/>
  <c r="AE54" i="2"/>
  <c r="T55" i="2"/>
  <c r="AI55" i="2"/>
  <c r="AA52" i="2"/>
  <c r="T54" i="2"/>
  <c r="Y55" i="2"/>
  <c r="U53" i="2"/>
  <c r="AF52" i="2"/>
  <c r="Z54" i="2"/>
  <c r="AG52" i="2"/>
  <c r="R54" i="2"/>
  <c r="X55" i="2"/>
  <c r="AF44" i="1"/>
  <c r="S42" i="1"/>
  <c r="H14" i="1"/>
  <c r="X44" i="1"/>
  <c r="AH41" i="1"/>
  <c r="W43" i="1"/>
  <c r="T43" i="1"/>
  <c r="AA41" i="1"/>
  <c r="AD43" i="1"/>
  <c r="W41" i="1"/>
  <c r="AI44" i="1"/>
  <c r="AB42" i="1"/>
  <c r="AI42" i="1"/>
  <c r="AF41" i="1"/>
  <c r="R44" i="1"/>
  <c r="AC44" i="1"/>
  <c r="S44" i="1"/>
  <c r="Z43" i="1"/>
  <c r="AG42" i="1"/>
  <c r="AE41" i="1"/>
  <c r="S41" i="1"/>
  <c r="R42" i="1"/>
  <c r="AB44" i="1"/>
  <c r="AI43" i="1"/>
  <c r="Y43" i="1"/>
  <c r="AF42" i="1"/>
  <c r="U42" i="1"/>
  <c r="AC41" i="1"/>
  <c r="AE44" i="1"/>
  <c r="AB43" i="1"/>
  <c r="X42" i="1"/>
  <c r="V41" i="1"/>
  <c r="T44" i="1"/>
  <c r="W42" i="1"/>
  <c r="T41" i="1"/>
  <c r="AA44" i="1"/>
  <c r="AF43" i="1"/>
  <c r="X43" i="1"/>
  <c r="AE42" i="1"/>
  <c r="T42" i="1"/>
  <c r="AB41" i="1"/>
  <c r="AH44" i="1"/>
  <c r="Y44" i="1"/>
  <c r="AE43" i="1"/>
  <c r="U43" i="1"/>
  <c r="AA42" i="1"/>
  <c r="AI41" i="1"/>
  <c r="X41" i="1"/>
  <c r="W44" i="1"/>
  <c r="S43" i="1"/>
  <c r="AG41" i="1"/>
  <c r="AD44" i="1"/>
  <c r="AA43" i="1"/>
  <c r="V42" i="1"/>
  <c r="G26" i="1"/>
  <c r="G24" i="1"/>
  <c r="R41" i="1"/>
  <c r="AG44" i="1"/>
  <c r="V44" i="1"/>
  <c r="AH43" i="1"/>
  <c r="AC43" i="1"/>
  <c r="AD42" i="1"/>
  <c r="Y42" i="1"/>
  <c r="Z41" i="1"/>
  <c r="U41" i="1"/>
  <c r="R43" i="1"/>
  <c r="Z44" i="1"/>
  <c r="U44" i="1"/>
  <c r="AG43" i="1"/>
  <c r="V43" i="1"/>
  <c r="AH42" i="1"/>
  <c r="AC42" i="1"/>
  <c r="AD41" i="1"/>
  <c r="Y41" i="1"/>
  <c r="T55" i="1"/>
  <c r="AD56" i="1"/>
  <c r="AC55" i="1"/>
  <c r="AB56" i="1"/>
  <c r="AA53" i="1"/>
  <c r="R55" i="1"/>
  <c r="Z55" i="1"/>
  <c r="AI56" i="1"/>
  <c r="W53" i="1"/>
  <c r="S56" i="1"/>
  <c r="S55" i="1"/>
  <c r="V55" i="1"/>
  <c r="AH55" i="1"/>
  <c r="T53" i="1"/>
  <c r="AE53" i="1"/>
  <c r="W54" i="1"/>
  <c r="AI55" i="1"/>
  <c r="V54" i="1"/>
  <c r="X53" i="1"/>
  <c r="AH54" i="1"/>
  <c r="G28" i="1"/>
  <c r="G30" i="1"/>
  <c r="E58" i="1" l="1"/>
  <c r="R53" i="1"/>
  <c r="Z54" i="1"/>
  <c r="AF54" i="1"/>
  <c r="Y53" i="1"/>
  <c r="T54" i="1"/>
  <c r="AH56" i="1"/>
  <c r="U53" i="1"/>
  <c r="W55" i="1"/>
  <c r="AE55" i="1"/>
  <c r="AF53" i="1"/>
  <c r="AD54" i="1"/>
  <c r="Y55" i="1"/>
  <c r="AI53" i="1"/>
  <c r="Y56" i="1"/>
  <c r="Z53" i="1"/>
  <c r="AB53" i="1"/>
  <c r="AE56" i="1"/>
  <c r="T56" i="1"/>
  <c r="Y54" i="1"/>
  <c r="AC53" i="1"/>
  <c r="W56" i="1"/>
  <c r="V56" i="1"/>
  <c r="AA56" i="1"/>
  <c r="AB55" i="1"/>
  <c r="AH53" i="1"/>
  <c r="AG53" i="1"/>
  <c r="AF56" i="1"/>
  <c r="AI54" i="1"/>
  <c r="AA55" i="1"/>
  <c r="X54" i="1"/>
  <c r="AD53" i="1"/>
  <c r="AG55" i="1"/>
  <c r="R54" i="1"/>
  <c r="AE54" i="1"/>
  <c r="R56" i="1"/>
  <c r="S54" i="1"/>
  <c r="AC56" i="1"/>
  <c r="Z56" i="1"/>
  <c r="AG54" i="1"/>
  <c r="U59" i="1"/>
  <c r="AC59" i="1"/>
  <c r="T60" i="1"/>
  <c r="AB60" i="1"/>
  <c r="S61" i="1"/>
  <c r="AA61" i="1"/>
  <c r="AI61" i="1"/>
  <c r="Z62" i="1"/>
  <c r="AH62" i="1"/>
  <c r="Y63" i="1"/>
  <c r="AG63" i="1"/>
  <c r="AD61" i="1"/>
  <c r="X60" i="1"/>
  <c r="V62" i="1"/>
  <c r="R61" i="1"/>
  <c r="V59" i="1"/>
  <c r="AD59" i="1"/>
  <c r="U60" i="1"/>
  <c r="AC60" i="1"/>
  <c r="T61" i="1"/>
  <c r="AB61" i="1"/>
  <c r="S62" i="1"/>
  <c r="AA62" i="1"/>
  <c r="AI62" i="1"/>
  <c r="Z63" i="1"/>
  <c r="AH63" i="1"/>
  <c r="AE60" i="1"/>
  <c r="R60" i="1"/>
  <c r="AG59" i="1"/>
  <c r="AE61" i="1"/>
  <c r="U63" i="1"/>
  <c r="W59" i="1"/>
  <c r="AE59" i="1"/>
  <c r="V60" i="1"/>
  <c r="AD60" i="1"/>
  <c r="U61" i="1"/>
  <c r="AC61" i="1"/>
  <c r="T62" i="1"/>
  <c r="AB62" i="1"/>
  <c r="S63" i="1"/>
  <c r="AA63" i="1"/>
  <c r="AI63" i="1"/>
  <c r="X59" i="1"/>
  <c r="AF59" i="1"/>
  <c r="W60" i="1"/>
  <c r="V61" i="1"/>
  <c r="U62" i="1"/>
  <c r="AC62" i="1"/>
  <c r="T63" i="1"/>
  <c r="AB63" i="1"/>
  <c r="Y59" i="1"/>
  <c r="AF60" i="1"/>
  <c r="W61" i="1"/>
  <c r="AD62" i="1"/>
  <c r="AC63" i="1"/>
  <c r="Z59" i="1"/>
  <c r="AH59" i="1"/>
  <c r="Y60" i="1"/>
  <c r="AG60" i="1"/>
  <c r="X61" i="1"/>
  <c r="AF61" i="1"/>
  <c r="W62" i="1"/>
  <c r="AE62" i="1"/>
  <c r="V63" i="1"/>
  <c r="AD63" i="1"/>
  <c r="R62" i="1"/>
  <c r="S59" i="1"/>
  <c r="AA59" i="1"/>
  <c r="AI59" i="1"/>
  <c r="Z60" i="1"/>
  <c r="AH60" i="1"/>
  <c r="Y61" i="1"/>
  <c r="AG61" i="1"/>
  <c r="X62" i="1"/>
  <c r="AF62" i="1"/>
  <c r="W63" i="1"/>
  <c r="AE63" i="1"/>
  <c r="R63" i="1"/>
  <c r="T59" i="1"/>
  <c r="AB59" i="1"/>
  <c r="S60" i="1"/>
  <c r="AA60" i="1"/>
  <c r="AI60" i="1"/>
  <c r="Z61" i="1"/>
  <c r="AG62" i="1"/>
  <c r="X63" i="1"/>
  <c r="R59" i="1"/>
  <c r="AF63" i="1"/>
  <c r="AH61" i="1"/>
  <c r="Y62" i="1"/>
  <c r="W71" i="1"/>
  <c r="AE71" i="1"/>
  <c r="V72" i="1"/>
  <c r="AD72" i="1"/>
  <c r="U73" i="1"/>
  <c r="AC73" i="1"/>
  <c r="T74" i="1"/>
  <c r="AB74" i="1"/>
  <c r="S75" i="1"/>
  <c r="AA75" i="1"/>
  <c r="AI75" i="1"/>
  <c r="W74" i="1"/>
  <c r="AH72" i="1"/>
  <c r="W75" i="1"/>
  <c r="X71" i="1"/>
  <c r="AF71" i="1"/>
  <c r="W72" i="1"/>
  <c r="AE72" i="1"/>
  <c r="V73" i="1"/>
  <c r="AD73" i="1"/>
  <c r="U74" i="1"/>
  <c r="AC74" i="1"/>
  <c r="T75" i="1"/>
  <c r="AB75" i="1"/>
  <c r="R72" i="1"/>
  <c r="X73" i="1"/>
  <c r="AA71" i="1"/>
  <c r="X74" i="1"/>
  <c r="Y71" i="1"/>
  <c r="AG71" i="1"/>
  <c r="X72" i="1"/>
  <c r="AF72" i="1"/>
  <c r="W73" i="1"/>
  <c r="AE73" i="1"/>
  <c r="V74" i="1"/>
  <c r="AD74" i="1"/>
  <c r="U75" i="1"/>
  <c r="AC75" i="1"/>
  <c r="R73" i="1"/>
  <c r="Z71" i="1"/>
  <c r="AH71" i="1"/>
  <c r="Y72" i="1"/>
  <c r="AG72" i="1"/>
  <c r="AF73" i="1"/>
  <c r="AE74" i="1"/>
  <c r="V75" i="1"/>
  <c r="AD75" i="1"/>
  <c r="R74" i="1"/>
  <c r="S71" i="1"/>
  <c r="AI71" i="1"/>
  <c r="Z72" i="1"/>
  <c r="Y73" i="1"/>
  <c r="AG73" i="1"/>
  <c r="AF74" i="1"/>
  <c r="AE75" i="1"/>
  <c r="R75" i="1"/>
  <c r="T71" i="1"/>
  <c r="AB71" i="1"/>
  <c r="S72" i="1"/>
  <c r="AA72" i="1"/>
  <c r="AI72" i="1"/>
  <c r="Z73" i="1"/>
  <c r="AH73" i="1"/>
  <c r="Y74" i="1"/>
  <c r="AG74" i="1"/>
  <c r="X75" i="1"/>
  <c r="AF75" i="1"/>
  <c r="R71" i="1"/>
  <c r="U71" i="1"/>
  <c r="AC71" i="1"/>
  <c r="T72" i="1"/>
  <c r="AB72" i="1"/>
  <c r="S73" i="1"/>
  <c r="AA73" i="1"/>
  <c r="AI73" i="1"/>
  <c r="Z74" i="1"/>
  <c r="AH74" i="1"/>
  <c r="Y75" i="1"/>
  <c r="AG75" i="1"/>
  <c r="V71" i="1"/>
  <c r="AD71" i="1"/>
  <c r="U72" i="1"/>
  <c r="AC72" i="1"/>
  <c r="T73" i="1"/>
  <c r="AB73" i="1"/>
  <c r="S74" i="1"/>
  <c r="AA74" i="1"/>
  <c r="AI74" i="1"/>
  <c r="Z75" i="1"/>
  <c r="AH75" i="1"/>
  <c r="AD55" i="1"/>
  <c r="AF55" i="1"/>
  <c r="AC54" i="1"/>
  <c r="X56" i="1"/>
  <c r="U55" i="1"/>
  <c r="S53" i="1"/>
  <c r="AG56" i="1"/>
  <c r="AB54" i="1"/>
  <c r="V53" i="1"/>
  <c r="U56" i="1"/>
  <c r="X55" i="1"/>
  <c r="U54" i="1"/>
  <c r="Y57" i="1"/>
  <c r="AG57" i="1"/>
  <c r="AA57" i="1"/>
  <c r="R57" i="1"/>
  <c r="Z57" i="1"/>
  <c r="AH57" i="1"/>
  <c r="S57" i="1"/>
  <c r="AI57" i="1"/>
  <c r="E52" i="1"/>
  <c r="T57" i="1"/>
  <c r="AB57" i="1"/>
  <c r="U57" i="1"/>
  <c r="AC57" i="1"/>
  <c r="AD57" i="1"/>
  <c r="W57" i="1"/>
  <c r="AE57" i="1"/>
  <c r="X57" i="1"/>
  <c r="AF57" i="1"/>
  <c r="V57" i="1"/>
  <c r="X69" i="1"/>
  <c r="AF69" i="1"/>
  <c r="E64" i="1"/>
  <c r="AH69" i="1"/>
  <c r="Y69" i="1"/>
  <c r="AG69" i="1"/>
  <c r="Z69" i="1"/>
  <c r="S69" i="1"/>
  <c r="AA69" i="1"/>
  <c r="AI69" i="1"/>
  <c r="T69" i="1"/>
  <c r="AB69" i="1"/>
  <c r="R69" i="1"/>
  <c r="U69" i="1"/>
  <c r="AC69" i="1"/>
  <c r="V69" i="1"/>
  <c r="AD69" i="1"/>
  <c r="W69" i="1"/>
  <c r="AE69" i="1"/>
  <c r="AA54" i="1"/>
  <c r="U65" i="1"/>
  <c r="AC65" i="1"/>
  <c r="T66" i="1"/>
  <c r="AB66" i="1"/>
  <c r="S67" i="1"/>
  <c r="AA67" i="1"/>
  <c r="AI67" i="1"/>
  <c r="Z68" i="1"/>
  <c r="AH68" i="1"/>
  <c r="V65" i="1"/>
  <c r="AD65" i="1"/>
  <c r="U66" i="1"/>
  <c r="AC66" i="1"/>
  <c r="T67" i="1"/>
  <c r="AB67" i="1"/>
  <c r="S68" i="1"/>
  <c r="AA68" i="1"/>
  <c r="AI68" i="1"/>
  <c r="V66" i="1"/>
  <c r="AC67" i="1"/>
  <c r="X65" i="1"/>
  <c r="AF65" i="1"/>
  <c r="W66" i="1"/>
  <c r="AE66" i="1"/>
  <c r="V67" i="1"/>
  <c r="AD67" i="1"/>
  <c r="U68" i="1"/>
  <c r="AC68" i="1"/>
  <c r="R67" i="1"/>
  <c r="AA65" i="1"/>
  <c r="Z66" i="1"/>
  <c r="Y67" i="1"/>
  <c r="X68" i="1"/>
  <c r="T65" i="1"/>
  <c r="S66" i="1"/>
  <c r="AI66" i="1"/>
  <c r="AH67" i="1"/>
  <c r="AG68" i="1"/>
  <c r="W65" i="1"/>
  <c r="AD66" i="1"/>
  <c r="T68" i="1"/>
  <c r="Y65" i="1"/>
  <c r="AG65" i="1"/>
  <c r="X66" i="1"/>
  <c r="AF66" i="1"/>
  <c r="W67" i="1"/>
  <c r="AE67" i="1"/>
  <c r="V68" i="1"/>
  <c r="AD68" i="1"/>
  <c r="R68" i="1"/>
  <c r="Z65" i="1"/>
  <c r="AH65" i="1"/>
  <c r="Y66" i="1"/>
  <c r="AG66" i="1"/>
  <c r="X67" i="1"/>
  <c r="AF67" i="1"/>
  <c r="W68" i="1"/>
  <c r="AE68" i="1"/>
  <c r="R65" i="1"/>
  <c r="S65" i="1"/>
  <c r="AI65" i="1"/>
  <c r="AH66" i="1"/>
  <c r="AG67" i="1"/>
  <c r="AF68" i="1"/>
  <c r="AB65" i="1"/>
  <c r="AA66" i="1"/>
  <c r="Z67" i="1"/>
  <c r="Y68" i="1"/>
  <c r="AE65" i="1"/>
  <c r="U67" i="1"/>
  <c r="AB68" i="1"/>
  <c r="R66" i="1"/>
</calcChain>
</file>

<file path=xl/sharedStrings.xml><?xml version="1.0" encoding="utf-8"?>
<sst xmlns="http://schemas.openxmlformats.org/spreadsheetml/2006/main" count="134" uniqueCount="63">
  <si>
    <t>Pente</t>
  </si>
  <si>
    <t>Poids total sur sablière (+poids chevron) (kg)</t>
  </si>
  <si>
    <t xml:space="preserve">Poids par m </t>
  </si>
  <si>
    <t>Poids total sur sablière (+poids chevron et renfort) (kg)</t>
  </si>
  <si>
    <t>Profondeur (m)</t>
  </si>
  <si>
    <t>Distance entre poteaux (m)</t>
  </si>
  <si>
    <t>Distance entre chevrons (m)</t>
  </si>
  <si>
    <t>Pente (°)</t>
  </si>
  <si>
    <t>Charge de neige (kg/m²)</t>
  </si>
  <si>
    <t>Poids vitrage (kg/m²)</t>
  </si>
  <si>
    <t>RENFORT Fe_5x90 CHEVRON: 739018</t>
  </si>
  <si>
    <t>nu</t>
  </si>
  <si>
    <t>nu =</t>
  </si>
  <si>
    <t>Charge neige* =</t>
  </si>
  <si>
    <t>(*) Charge neige = nu * Ce * Ct * Sk + s1</t>
  </si>
  <si>
    <t>Longueur =</t>
  </si>
  <si>
    <t>Ce = Ct = 1 &amp; s1 = 0 si pente &gt; 5%</t>
  </si>
  <si>
    <t>Constante 'flèche max'</t>
  </si>
  <si>
    <r>
      <t xml:space="preserve">f = 5/384 * ( G * L^4 / E * I )   </t>
    </r>
    <r>
      <rPr>
        <b/>
        <i/>
        <sz val="8"/>
        <color indexed="12"/>
        <rFont val="Arial"/>
        <family val="2"/>
      </rPr>
      <t>G = N par m</t>
    </r>
  </si>
  <si>
    <t>SABLIERE: 432027</t>
  </si>
  <si>
    <t>RENFORT Fe_10x100 SABLIERE:739016</t>
  </si>
  <si>
    <t>Longueur barre (m) =</t>
  </si>
  <si>
    <t xml:space="preserve">EI_sablière (Nm²) = </t>
  </si>
  <si>
    <t>I cheneau (cm4)</t>
  </si>
  <si>
    <t>I renfort I (cm4)</t>
  </si>
  <si>
    <t>Poids cheneau (kg)</t>
  </si>
  <si>
    <t>Poids renfort cheneau (kg)</t>
  </si>
  <si>
    <t>Poids cheneau + renfort (kg)</t>
  </si>
  <si>
    <t>Poids chevron (kg)</t>
  </si>
  <si>
    <t>Poids renfort chevron (kg)</t>
  </si>
  <si>
    <t>Poids chevron + renfort (kg)</t>
  </si>
  <si>
    <t>Distance maxi entre poteaux (m) =</t>
  </si>
  <si>
    <t>Nombre chevrons</t>
  </si>
  <si>
    <t>Profondeur</t>
  </si>
  <si>
    <t>Charge neige</t>
  </si>
  <si>
    <t xml:space="preserve">DISTANCE POTEAU   PATIO se cheneau + chevron   Flèche maxi=L/200 / vitrage 20kg/m² / pas chevron=0,700m </t>
  </si>
  <si>
    <t xml:space="preserve">DISTANCE POTEAU   PATIO se cheneau + chevron renforcé   Flèche maxi=L/200 / vitrage 20kg/m² / pas chevron=0,700m </t>
  </si>
  <si>
    <t>CHEVRON: 432035</t>
  </si>
  <si>
    <t xml:space="preserve">EI_sablière + EI_1xrenfort (Nm²) = </t>
  </si>
  <si>
    <t>EI_sablière + EI_2xrenfort (Nm²) =</t>
  </si>
  <si>
    <t xml:space="preserve">DISTANCE POTEAU   PATIO se cheneau 1x renforcé + chevron   Flèche maxi=L/200 / vitrage 20kg/m² / pas chevron=0,700m </t>
  </si>
  <si>
    <t xml:space="preserve">DISTANCE POTEAU   PATIO se cheneau 1x renforcé + chevron renforcé   Flèche maxi=L/200 / vitrage 20kg/m² / pas chevron=0,700m </t>
  </si>
  <si>
    <t xml:space="preserve">DISTANCE POTEAU   PATIO se cheneau 2x renforcé + chevron renforcé   Flèche maxi=L/200 / vitrage 20kg/m² / pas chevron=0,700m </t>
  </si>
  <si>
    <t xml:space="preserve">DISTANCE POTEAU   PATIO se cheneau 2x renforcé + chevron   Flèche maxi=L/200 / vitrage 20kg/m² / pas chevron=0,700m </t>
  </si>
  <si>
    <t xml:space="preserve">EI_sablière + EI_2xrenfort (Nm²) = </t>
  </si>
  <si>
    <t>Poids total sur sablière 1x renfort (+poids chevron et renfort) (kg)</t>
  </si>
  <si>
    <t>Poids total sur sablière 1x renfort (+poids chevron) (kg)</t>
  </si>
  <si>
    <t>Poids total sur sablière 2x renfort (+poids chevron) (kg)</t>
  </si>
  <si>
    <t>Poids total sur sablière 2x renfort (+poids chevron et renfort) (kg)</t>
  </si>
  <si>
    <r>
      <t xml:space="preserve">Version 10/2020   </t>
    </r>
    <r>
      <rPr>
        <sz val="10"/>
        <color indexed="10"/>
        <rFont val="Arial"/>
        <family val="2"/>
      </rPr>
      <t>Ces valeurs sont données a titre indicatif et n'engagent pas Flandria !</t>
    </r>
  </si>
  <si>
    <r>
      <t>P A T I O se</t>
    </r>
    <r>
      <rPr>
        <b/>
        <sz val="12"/>
        <color indexed="9"/>
        <rFont val="Arial"/>
        <family val="2"/>
      </rPr>
      <t xml:space="preserve">   CALCUL PORTEE SABLIERE </t>
    </r>
    <r>
      <rPr>
        <b/>
        <sz val="12"/>
        <color rgb="FF0000CC"/>
        <rFont val="Arial"/>
        <family val="2"/>
      </rPr>
      <t>vitrage</t>
    </r>
  </si>
  <si>
    <t>FLECHE MAXI = L/200</t>
  </si>
  <si>
    <t>DELETE</t>
  </si>
  <si>
    <t xml:space="preserve">Distance maxi entre poteaux _ Chéneau non renforcé </t>
  </si>
  <si>
    <t xml:space="preserve">Distance maxi entre poteaux _ Chéneau 1x renforcé </t>
  </si>
  <si>
    <t xml:space="preserve">Distance maxi entre poteaux _ Chéneau 2x renforcé </t>
  </si>
  <si>
    <r>
      <t>P A T I O se</t>
    </r>
    <r>
      <rPr>
        <b/>
        <sz val="12"/>
        <color indexed="9"/>
        <rFont val="Arial"/>
        <family val="2"/>
      </rPr>
      <t xml:space="preserve">   CALCUL FLECHE SABLIERE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plaque</t>
    </r>
  </si>
  <si>
    <t xml:space="preserve">DISTANCE POTEAU   PATIO se cheneau + chevron   Flèche maxi=L/200 / plaque 5kg/m² / pas chevron=1,200m </t>
  </si>
  <si>
    <t xml:space="preserve">DISTANCE POTEAU   PATIO se cheneau + chevron renforcé   Flèche maxi=L/200 / plaque 5kg/m² / pas chevron=1,200m </t>
  </si>
  <si>
    <t>DISTANCE POTEAU   PATIO se cheneau 1x renforcé + chevron renforcé   Flèche maxi=L/200 / plaque 5kg/m² / pas chevron=1,200m</t>
  </si>
  <si>
    <t>DISTANCE POTEAU   PATIO se cheneau 2x renforcé + chevron renforcé   Flèche maxi=L/200 / plaque 5kg/m² / pas chevron=1,200m</t>
  </si>
  <si>
    <t>DISTANCE POTEAU   PATIO se cheneau 1x renforcé + chevron   Flèche maxi=L/200 / plaque 5kg/m² / pas chevron=1,200</t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</si>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</sst>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0.0"/>
    <numFmt numFmtId="167" formatCode="_-* #,##0.0\ _€_-;\-* #,##0.0\ _€_-;_-* &quot;-&quot;??\ _€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8.5"/>
      <color indexed="9"/>
      <name val="MS Sans Serif"/>
      <family val="2"/>
    </font>
    <font>
      <sz val="8.5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i/>
      <sz val="8"/>
      <color indexed="12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sz val="10"/>
      <color rgb="FFFF0000"/>
      <name val="Arial"/>
      <family val="2"/>
    </font>
    <font>
      <b/>
      <sz val="1"/>
      <name val="Arial"/>
      <family val="2"/>
    </font>
    <font>
      <sz val="10"/>
      <color rgb="FF000099"/>
      <name val="Arial"/>
      <family val="2"/>
    </font>
    <font>
      <b/>
      <sz val="12"/>
      <color rgb="FF0000CC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4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0" xfId="0" applyFill="1" applyBorder="1"/>
    <xf numFmtId="0" fontId="0" fillId="0" borderId="0" xfId="0" applyAlignment="1"/>
    <xf numFmtId="0" fontId="16" fillId="0" borderId="0" xfId="0" applyFont="1"/>
    <xf numFmtId="166" fontId="4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5" fontId="3" fillId="0" borderId="8" xfId="0" applyNumberFormat="1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top"/>
      <protection hidden="1"/>
    </xf>
    <xf numFmtId="165" fontId="4" fillId="0" borderId="0" xfId="0" applyNumberFormat="1" applyFont="1" applyFill="1" applyBorder="1" applyAlignment="1" applyProtection="1">
      <alignment horizontal="center" vertical="top"/>
      <protection hidden="1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167" fontId="3" fillId="0" borderId="23" xfId="1" applyNumberFormat="1" applyFont="1" applyBorder="1" applyAlignment="1">
      <alignment horizontal="center"/>
    </xf>
    <xf numFmtId="167" fontId="3" fillId="0" borderId="17" xfId="1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3" fillId="0" borderId="30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9" xfId="0" applyFont="1" applyBorder="1"/>
    <xf numFmtId="0" fontId="20" fillId="0" borderId="0" xfId="0" applyFont="1"/>
    <xf numFmtId="2" fontId="20" fillId="0" borderId="31" xfId="0" applyNumberFormat="1" applyFont="1" applyBorder="1"/>
    <xf numFmtId="2" fontId="20" fillId="0" borderId="36" xfId="0" applyNumberFormat="1" applyFont="1" applyBorder="1"/>
    <xf numFmtId="2" fontId="20" fillId="0" borderId="32" xfId="0" applyNumberFormat="1" applyFont="1" applyBorder="1"/>
    <xf numFmtId="2" fontId="20" fillId="0" borderId="40" xfId="0" applyNumberFormat="1" applyFont="1" applyBorder="1"/>
    <xf numFmtId="2" fontId="20" fillId="0" borderId="26" xfId="0" applyNumberFormat="1" applyFont="1" applyBorder="1"/>
    <xf numFmtId="2" fontId="20" fillId="0" borderId="37" xfId="0" applyNumberFormat="1" applyFont="1" applyBorder="1"/>
    <xf numFmtId="2" fontId="20" fillId="0" borderId="27" xfId="0" applyNumberFormat="1" applyFont="1" applyBorder="1"/>
    <xf numFmtId="2" fontId="20" fillId="0" borderId="41" xfId="0" applyNumberFormat="1" applyFont="1" applyBorder="1"/>
    <xf numFmtId="2" fontId="20" fillId="0" borderId="28" xfId="0" applyNumberFormat="1" applyFont="1" applyBorder="1"/>
    <xf numFmtId="2" fontId="20" fillId="0" borderId="38" xfId="0" applyNumberFormat="1" applyFont="1" applyBorder="1"/>
    <xf numFmtId="2" fontId="20" fillId="0" borderId="29" xfId="0" applyNumberFormat="1" applyFont="1" applyBorder="1"/>
    <xf numFmtId="2" fontId="20" fillId="0" borderId="42" xfId="0" applyNumberFormat="1" applyFont="1" applyBorder="1"/>
    <xf numFmtId="2" fontId="20" fillId="0" borderId="24" xfId="0" applyNumberFormat="1" applyFont="1" applyBorder="1"/>
    <xf numFmtId="2" fontId="20" fillId="0" borderId="43" xfId="0" applyNumberFormat="1" applyFont="1" applyBorder="1"/>
    <xf numFmtId="2" fontId="20" fillId="0" borderId="25" xfId="0" applyNumberFormat="1" applyFont="1" applyBorder="1"/>
    <xf numFmtId="2" fontId="20" fillId="0" borderId="44" xfId="0" applyNumberFormat="1" applyFont="1" applyBorder="1"/>
    <xf numFmtId="0" fontId="21" fillId="0" borderId="0" xfId="0" applyFont="1"/>
    <xf numFmtId="2" fontId="21" fillId="0" borderId="31" xfId="0" applyNumberFormat="1" applyFont="1" applyBorder="1"/>
    <xf numFmtId="2" fontId="21" fillId="0" borderId="36" xfId="0" applyNumberFormat="1" applyFont="1" applyBorder="1"/>
    <xf numFmtId="2" fontId="21" fillId="0" borderId="32" xfId="0" applyNumberFormat="1" applyFont="1" applyBorder="1"/>
    <xf numFmtId="2" fontId="21" fillId="0" borderId="40" xfId="0" applyNumberFormat="1" applyFont="1" applyBorder="1"/>
    <xf numFmtId="2" fontId="21" fillId="0" borderId="26" xfId="0" applyNumberFormat="1" applyFont="1" applyBorder="1"/>
    <xf numFmtId="2" fontId="21" fillId="0" borderId="37" xfId="0" applyNumberFormat="1" applyFont="1" applyBorder="1"/>
    <xf numFmtId="2" fontId="21" fillId="0" borderId="27" xfId="0" applyNumberFormat="1" applyFont="1" applyBorder="1"/>
    <xf numFmtId="2" fontId="21" fillId="0" borderId="41" xfId="0" applyNumberFormat="1" applyFont="1" applyBorder="1"/>
    <xf numFmtId="2" fontId="21" fillId="0" borderId="28" xfId="0" applyNumberFormat="1" applyFont="1" applyBorder="1"/>
    <xf numFmtId="2" fontId="21" fillId="0" borderId="38" xfId="0" applyNumberFormat="1" applyFont="1" applyBorder="1"/>
    <xf numFmtId="2" fontId="21" fillId="0" borderId="29" xfId="0" applyNumberFormat="1" applyFont="1" applyBorder="1"/>
    <xf numFmtId="2" fontId="21" fillId="0" borderId="42" xfId="0" applyNumberFormat="1" applyFont="1" applyBorder="1"/>
    <xf numFmtId="2" fontId="21" fillId="0" borderId="24" xfId="0" applyNumberFormat="1" applyFont="1" applyBorder="1"/>
    <xf numFmtId="2" fontId="21" fillId="0" borderId="43" xfId="0" applyNumberFormat="1" applyFont="1" applyBorder="1"/>
    <xf numFmtId="2" fontId="21" fillId="0" borderId="25" xfId="0" applyNumberFormat="1" applyFont="1" applyBorder="1"/>
    <xf numFmtId="2" fontId="21" fillId="0" borderId="44" xfId="0" applyNumberFormat="1" applyFont="1" applyBorder="1"/>
    <xf numFmtId="167" fontId="22" fillId="0" borderId="16" xfId="1" applyNumberFormat="1" applyFont="1" applyBorder="1" applyAlignment="1">
      <alignment horizontal="center"/>
    </xf>
    <xf numFmtId="167" fontId="22" fillId="0" borderId="23" xfId="1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3" fillId="0" borderId="0" xfId="0" applyFont="1"/>
    <xf numFmtId="2" fontId="20" fillId="0" borderId="24" xfId="0" applyNumberFormat="1" applyFont="1" applyFill="1" applyBorder="1"/>
    <xf numFmtId="2" fontId="20" fillId="0" borderId="25" xfId="0" applyNumberFormat="1" applyFont="1" applyFill="1" applyBorder="1"/>
    <xf numFmtId="2" fontId="20" fillId="0" borderId="26" xfId="0" applyNumberFormat="1" applyFont="1" applyFill="1" applyBorder="1"/>
    <xf numFmtId="2" fontId="20" fillId="0" borderId="27" xfId="0" applyNumberFormat="1" applyFont="1" applyFill="1" applyBorder="1"/>
    <xf numFmtId="2" fontId="20" fillId="0" borderId="28" xfId="0" applyNumberFormat="1" applyFont="1" applyFill="1" applyBorder="1"/>
    <xf numFmtId="2" fontId="20" fillId="0" borderId="29" xfId="0" applyNumberFormat="1" applyFont="1" applyFill="1" applyBorder="1"/>
    <xf numFmtId="2" fontId="20" fillId="0" borderId="43" xfId="0" applyNumberFormat="1" applyFont="1" applyFill="1" applyBorder="1"/>
    <xf numFmtId="2" fontId="20" fillId="0" borderId="37" xfId="0" applyNumberFormat="1" applyFont="1" applyFill="1" applyBorder="1"/>
    <xf numFmtId="2" fontId="20" fillId="0" borderId="38" xfId="0" applyNumberFormat="1" applyFont="1" applyFill="1" applyBorder="1"/>
    <xf numFmtId="2" fontId="20" fillId="0" borderId="44" xfId="0" applyNumberFormat="1" applyFont="1" applyFill="1" applyBorder="1"/>
    <xf numFmtId="2" fontId="20" fillId="0" borderId="41" xfId="0" applyNumberFormat="1" applyFont="1" applyFill="1" applyBorder="1"/>
    <xf numFmtId="2" fontId="20" fillId="0" borderId="42" xfId="0" applyNumberFormat="1" applyFont="1" applyFill="1" applyBorder="1"/>
    <xf numFmtId="0" fontId="1" fillId="0" borderId="1" xfId="0" applyFont="1" applyBorder="1"/>
    <xf numFmtId="2" fontId="21" fillId="0" borderId="24" xfId="0" applyNumberFormat="1" applyFont="1" applyFill="1" applyBorder="1"/>
    <xf numFmtId="2" fontId="21" fillId="0" borderId="25" xfId="0" applyNumberFormat="1" applyFont="1" applyFill="1" applyBorder="1"/>
    <xf numFmtId="2" fontId="21" fillId="0" borderId="26" xfId="0" applyNumberFormat="1" applyFont="1" applyFill="1" applyBorder="1"/>
    <xf numFmtId="2" fontId="21" fillId="0" borderId="27" xfId="0" applyNumberFormat="1" applyFont="1" applyFill="1" applyBorder="1"/>
    <xf numFmtId="2" fontId="21" fillId="0" borderId="28" xfId="0" applyNumberFormat="1" applyFont="1" applyFill="1" applyBorder="1"/>
    <xf numFmtId="2" fontId="21" fillId="0" borderId="29" xfId="0" applyNumberFormat="1" applyFont="1" applyFill="1" applyBorder="1"/>
    <xf numFmtId="2" fontId="21" fillId="0" borderId="43" xfId="0" applyNumberFormat="1" applyFont="1" applyFill="1" applyBorder="1"/>
    <xf numFmtId="2" fontId="21" fillId="0" borderId="37" xfId="0" applyNumberFormat="1" applyFont="1" applyFill="1" applyBorder="1"/>
    <xf numFmtId="2" fontId="21" fillId="0" borderId="38" xfId="0" applyNumberFormat="1" applyFont="1" applyFill="1" applyBorder="1"/>
    <xf numFmtId="2" fontId="21" fillId="0" borderId="44" xfId="0" applyNumberFormat="1" applyFont="1" applyFill="1" applyBorder="1"/>
    <xf numFmtId="2" fontId="21" fillId="0" borderId="41" xfId="0" applyNumberFormat="1" applyFont="1" applyFill="1" applyBorder="1"/>
    <xf numFmtId="2" fontId="21" fillId="0" borderId="42" xfId="0" applyNumberFormat="1" applyFont="1" applyFill="1" applyBorder="1"/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166" fontId="13" fillId="0" borderId="0" xfId="0" applyNumberFormat="1" applyFont="1" applyFill="1" applyBorder="1" applyAlignment="1" applyProtection="1">
      <alignment horizontal="center"/>
      <protection hidden="1"/>
    </xf>
    <xf numFmtId="165" fontId="13" fillId="0" borderId="0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 applyProtection="1">
      <alignment horizontal="right"/>
      <protection hidden="1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  <protection hidden="1"/>
    </xf>
    <xf numFmtId="2" fontId="25" fillId="5" borderId="0" xfId="0" applyNumberFormat="1" applyFont="1" applyFill="1" applyAlignment="1" applyProtection="1">
      <alignment horizontal="center"/>
      <protection hidden="1"/>
    </xf>
    <xf numFmtId="2" fontId="25" fillId="5" borderId="0" xfId="0" applyNumberFormat="1" applyFont="1" applyFill="1" applyAlignment="1">
      <alignment horizontal="center"/>
    </xf>
    <xf numFmtId="0" fontId="3" fillId="0" borderId="45" xfId="0" applyFont="1" applyFill="1" applyBorder="1"/>
    <xf numFmtId="0" fontId="3" fillId="0" borderId="0" xfId="0" applyFont="1" applyFill="1" applyBorder="1"/>
    <xf numFmtId="2" fontId="20" fillId="0" borderId="0" xfId="0" applyNumberFormat="1" applyFont="1" applyFill="1" applyBorder="1"/>
    <xf numFmtId="2" fontId="21" fillId="0" borderId="0" xfId="0" applyNumberFormat="1" applyFont="1" applyFill="1" applyBorder="1"/>
    <xf numFmtId="0" fontId="26" fillId="0" borderId="0" xfId="0" applyFont="1" applyFill="1" applyBorder="1" applyAlignment="1" applyProtection="1">
      <alignment horizontal="left" vertical="top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2" fontId="20" fillId="0" borderId="20" xfId="0" applyNumberFormat="1" applyFont="1" applyBorder="1"/>
    <xf numFmtId="2" fontId="20" fillId="0" borderId="21" xfId="0" applyNumberFormat="1" applyFont="1" applyBorder="1"/>
    <xf numFmtId="0" fontId="3" fillId="0" borderId="22" xfId="0" applyFont="1" applyFill="1" applyBorder="1"/>
    <xf numFmtId="2" fontId="20" fillId="0" borderId="22" xfId="0" applyNumberFormat="1" applyFont="1" applyBorder="1"/>
    <xf numFmtId="2" fontId="25" fillId="0" borderId="0" xfId="0" applyNumberFormat="1" applyFont="1" applyFill="1" applyAlignment="1">
      <alignment horizontal="center"/>
    </xf>
    <xf numFmtId="2" fontId="25" fillId="0" borderId="0" xfId="0" applyNumberFormat="1" applyFont="1" applyFill="1" applyAlignment="1" applyProtection="1">
      <alignment horizontal="center"/>
      <protection hidden="1"/>
    </xf>
    <xf numFmtId="2" fontId="21" fillId="0" borderId="20" xfId="0" applyNumberFormat="1" applyFont="1" applyBorder="1"/>
    <xf numFmtId="2" fontId="21" fillId="0" borderId="21" xfId="0" applyNumberFormat="1" applyFont="1" applyBorder="1"/>
    <xf numFmtId="2" fontId="21" fillId="0" borderId="22" xfId="0" applyNumberFormat="1" applyFont="1" applyBorder="1"/>
    <xf numFmtId="0" fontId="3" fillId="0" borderId="22" xfId="0" applyFont="1" applyBorder="1" applyAlignment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27" fillId="0" borderId="0" xfId="0" applyFont="1"/>
    <xf numFmtId="0" fontId="26" fillId="0" borderId="0" xfId="0" applyFont="1"/>
    <xf numFmtId="0" fontId="3" fillId="0" borderId="0" xfId="0" applyFont="1" applyAlignment="1" applyProtection="1">
      <alignment horizontal="left"/>
      <protection hidden="1"/>
    </xf>
    <xf numFmtId="0" fontId="1" fillId="0" borderId="15" xfId="0" applyFont="1" applyBorder="1" applyAlignment="1">
      <alignment horizontal="center" vertical="center" textRotation="90"/>
    </xf>
    <xf numFmtId="0" fontId="0" fillId="0" borderId="47" xfId="0" applyBorder="1" applyAlignment="1"/>
    <xf numFmtId="0" fontId="0" fillId="0" borderId="2" xfId="0" applyBorder="1" applyAlignment="1"/>
    <xf numFmtId="14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6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1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47" xfId="0" applyFont="1" applyBorder="1" applyAlignment="1">
      <alignment horizontal="center" vertical="center" textRotation="90"/>
    </xf>
    <xf numFmtId="0" fontId="1" fillId="0" borderId="46" xfId="0" applyFont="1" applyBorder="1" applyAlignment="1">
      <alignment horizontal="center" vertical="center" textRotation="90"/>
    </xf>
    <xf numFmtId="0" fontId="0" fillId="0" borderId="0" xfId="0" applyAlignment="1"/>
    <xf numFmtId="0" fontId="1" fillId="0" borderId="0" xfId="0" applyFont="1" applyBorder="1" applyAlignment="1">
      <alignment horizontal="center" vertical="center" textRotation="90"/>
    </xf>
    <xf numFmtId="14" fontId="17" fillId="0" borderId="0" xfId="0" applyNumberFormat="1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53340</xdr:colOff>
      <xdr:row>1</xdr:row>
      <xdr:rowOff>7620</xdr:rowOff>
    </xdr:from>
    <xdr:to>
      <xdr:col>52</xdr:col>
      <xdr:colOff>388162</xdr:colOff>
      <xdr:row>57</xdr:row>
      <xdr:rowOff>120671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72D58D3-3835-486B-8429-994D6AAA5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7180" y="16764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289560</xdr:colOff>
      <xdr:row>45</xdr:row>
      <xdr:rowOff>60960</xdr:rowOff>
    </xdr:from>
    <xdr:to>
      <xdr:col>1</xdr:col>
      <xdr:colOff>2353560</xdr:colOff>
      <xdr:row>74</xdr:row>
      <xdr:rowOff>187037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2EA670D-5EFF-43F5-B98C-C3C229A8C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385060"/>
          <a:ext cx="2064000" cy="4012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213360</xdr:colOff>
      <xdr:row>2</xdr:row>
      <xdr:rowOff>7620</xdr:rowOff>
    </xdr:from>
    <xdr:to>
      <xdr:col>41</xdr:col>
      <xdr:colOff>471982</xdr:colOff>
      <xdr:row>57</xdr:row>
      <xdr:rowOff>143531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2215E4-1B4A-45C7-B024-DB54715F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1910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289560</xdr:colOff>
      <xdr:row>44</xdr:row>
      <xdr:rowOff>38100</xdr:rowOff>
    </xdr:from>
    <xdr:to>
      <xdr:col>1</xdr:col>
      <xdr:colOff>2353560</xdr:colOff>
      <xdr:row>73</xdr:row>
      <xdr:rowOff>164177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875E513-42AE-45D6-830C-6AAB04AF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882140"/>
          <a:ext cx="2064000" cy="4012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86"/>
  <sheetViews>
    <sheetView tabSelected="1" workbookViewId="0">
      <selection activeCell="BA63" sqref="BA63"/>
    </sheetView>
  </sheetViews>
  <sheetFormatPr baseColWidth="10" defaultRowHeight="13.2" x14ac:dyDescent="0.25"/>
  <cols>
    <col min="1" max="1" width="1.6640625" customWidth="1"/>
    <col min="2" max="2" width="38.77734375" customWidth="1"/>
    <col min="3" max="3" width="2.21875" hidden="1" customWidth="1"/>
    <col min="4" max="4" width="58.6640625" customWidth="1"/>
    <col min="5" max="5" width="13.6640625" customWidth="1"/>
    <col min="6" max="6" width="1.88671875" customWidth="1"/>
    <col min="7" max="7" width="28.109375" hidden="1" customWidth="1"/>
    <col min="8" max="8" width="7" hidden="1" customWidth="1"/>
    <col min="9" max="9" width="14.88671875" hidden="1" customWidth="1"/>
    <col min="10" max="10" width="12.6640625" hidden="1" customWidth="1"/>
    <col min="11" max="11" width="7.109375" hidden="1" customWidth="1"/>
    <col min="12" max="13" width="8.6640625" hidden="1" customWidth="1"/>
    <col min="14" max="14" width="4.88671875" hidden="1" customWidth="1"/>
    <col min="15" max="17" width="5.88671875" hidden="1" customWidth="1"/>
    <col min="18" max="35" width="6.88671875" hidden="1" customWidth="1"/>
    <col min="36" max="47" width="7.88671875" hidden="1" customWidth="1"/>
    <col min="48" max="48" width="0" hidden="1" customWidth="1"/>
  </cols>
  <sheetData>
    <row r="1" spans="2:15" ht="13.05" customHeight="1" x14ac:dyDescent="0.25">
      <c r="B1" s="164" t="s">
        <v>49</v>
      </c>
      <c r="C1" s="165"/>
      <c r="D1" s="165"/>
      <c r="E1" s="165"/>
    </row>
    <row r="2" spans="2:15" ht="20.100000000000001" customHeight="1" x14ac:dyDescent="0.25">
      <c r="B2" s="166" t="s">
        <v>50</v>
      </c>
      <c r="C2" s="167"/>
      <c r="D2" s="167"/>
      <c r="E2" s="167"/>
    </row>
    <row r="3" spans="2:15" ht="5.0999999999999996" customHeight="1" x14ac:dyDescent="0.25"/>
    <row r="4" spans="2:15" ht="18" customHeight="1" thickBot="1" x14ac:dyDescent="0.3">
      <c r="B4" s="12" t="s">
        <v>19</v>
      </c>
      <c r="D4" s="48" t="s">
        <v>4</v>
      </c>
      <c r="E4" s="49">
        <v>3</v>
      </c>
      <c r="G4" s="33" t="s">
        <v>21</v>
      </c>
      <c r="H4" s="34">
        <f>$E$4/COS(E7*PI()/180)</f>
        <v>3.0462798356572351</v>
      </c>
      <c r="I4" s="168" t="s">
        <v>18</v>
      </c>
      <c r="J4" s="168"/>
      <c r="K4" s="168"/>
    </row>
    <row r="5" spans="2:15" ht="18" hidden="1" customHeight="1" thickBot="1" x14ac:dyDescent="0.3">
      <c r="D5" s="48" t="s">
        <v>5</v>
      </c>
      <c r="E5" s="49">
        <v>0</v>
      </c>
      <c r="I5" s="169"/>
      <c r="J5" s="169"/>
      <c r="K5" s="169"/>
    </row>
    <row r="6" spans="2:15" ht="18" customHeight="1" x14ac:dyDescent="0.25">
      <c r="B6" s="12" t="s">
        <v>20</v>
      </c>
      <c r="D6" s="48" t="s">
        <v>6</v>
      </c>
      <c r="E6" s="49">
        <v>0.7</v>
      </c>
      <c r="I6" s="24" t="s">
        <v>0</v>
      </c>
      <c r="J6" s="25" t="s">
        <v>11</v>
      </c>
      <c r="K6" s="23"/>
    </row>
    <row r="7" spans="2:15" ht="18" customHeight="1" x14ac:dyDescent="0.25">
      <c r="B7" s="12" t="s">
        <v>37</v>
      </c>
      <c r="D7" s="48" t="s">
        <v>7</v>
      </c>
      <c r="E7" s="50">
        <v>10</v>
      </c>
      <c r="I7" s="26">
        <v>5</v>
      </c>
      <c r="J7" s="27">
        <v>0.8</v>
      </c>
      <c r="K7" s="23"/>
      <c r="L7" s="156"/>
      <c r="M7" s="157"/>
      <c r="N7" s="157"/>
    </row>
    <row r="8" spans="2:15" ht="18" customHeight="1" x14ac:dyDescent="0.25">
      <c r="B8" s="12" t="s">
        <v>10</v>
      </c>
      <c r="D8" s="48" t="s">
        <v>8</v>
      </c>
      <c r="E8" s="50">
        <v>45</v>
      </c>
      <c r="I8" s="28">
        <v>10</v>
      </c>
      <c r="J8" s="29">
        <v>0.8</v>
      </c>
      <c r="K8" s="23"/>
      <c r="L8" s="156"/>
      <c r="M8" s="157"/>
      <c r="N8" s="157"/>
      <c r="O8" s="11"/>
    </row>
    <row r="9" spans="2:15" ht="18" customHeight="1" x14ac:dyDescent="0.25">
      <c r="B9" s="158" t="s">
        <v>51</v>
      </c>
      <c r="D9" s="48" t="s">
        <v>9</v>
      </c>
      <c r="E9" s="50">
        <v>20</v>
      </c>
      <c r="I9" s="28">
        <v>15</v>
      </c>
      <c r="J9" s="29">
        <v>0.8</v>
      </c>
      <c r="K9" s="23"/>
      <c r="L9" s="36"/>
      <c r="M9" s="37"/>
      <c r="N9" s="37"/>
      <c r="O9" s="11"/>
    </row>
    <row r="10" spans="2:15" ht="18" hidden="1" customHeight="1" x14ac:dyDescent="0.25">
      <c r="D10" s="51" t="s">
        <v>17</v>
      </c>
      <c r="E10" s="52">
        <v>200</v>
      </c>
      <c r="I10" s="28">
        <v>20</v>
      </c>
      <c r="J10" s="29">
        <v>0.8</v>
      </c>
      <c r="K10" s="23"/>
      <c r="L10" s="36"/>
      <c r="M10" s="37"/>
      <c r="N10" s="37"/>
      <c r="O10" s="11"/>
    </row>
    <row r="11" spans="2:15" ht="18" customHeight="1" x14ac:dyDescent="0.25">
      <c r="D11" s="46"/>
      <c r="E11" s="47"/>
      <c r="I11" s="30">
        <v>25</v>
      </c>
      <c r="J11" s="29">
        <v>0.8</v>
      </c>
      <c r="K11" s="23"/>
      <c r="L11" s="36"/>
      <c r="M11" s="37"/>
      <c r="N11" s="37"/>
      <c r="O11" s="11"/>
    </row>
    <row r="12" spans="2:15" ht="18" hidden="1" customHeight="1" x14ac:dyDescent="0.25">
      <c r="D12" s="53"/>
      <c r="E12" s="47"/>
      <c r="I12" s="30">
        <v>30</v>
      </c>
      <c r="J12" s="29">
        <f t="shared" ref="J12:J17" si="0">0.8*(60-$I12)/30</f>
        <v>0.8</v>
      </c>
      <c r="K12" s="23"/>
      <c r="L12" s="36"/>
      <c r="M12" s="37"/>
      <c r="N12" s="37"/>
      <c r="O12" s="11"/>
    </row>
    <row r="13" spans="2:15" ht="18" hidden="1" customHeight="1" x14ac:dyDescent="0.25">
      <c r="D13" s="9" t="s">
        <v>23</v>
      </c>
      <c r="E13" s="13">
        <v>258.57</v>
      </c>
      <c r="G13" s="33" t="s">
        <v>22</v>
      </c>
      <c r="H13" s="35">
        <f>70000000000*(E13/100000000)</f>
        <v>180999</v>
      </c>
      <c r="I13" s="30">
        <v>31</v>
      </c>
      <c r="J13" s="29">
        <f t="shared" si="0"/>
        <v>0.77333333333333343</v>
      </c>
      <c r="K13" s="23"/>
    </row>
    <row r="14" spans="2:15" ht="18" hidden="1" customHeight="1" x14ac:dyDescent="0.25">
      <c r="D14" s="9" t="s">
        <v>24</v>
      </c>
      <c r="E14" s="13">
        <v>83.33</v>
      </c>
      <c r="G14" s="98" t="s">
        <v>38</v>
      </c>
      <c r="H14" s="35">
        <f>(210000000000*(E14/100000000))+H13</f>
        <v>355992</v>
      </c>
      <c r="I14" s="30">
        <v>32</v>
      </c>
      <c r="J14" s="29">
        <f t="shared" si="0"/>
        <v>0.7466666666666667</v>
      </c>
      <c r="K14" s="23"/>
    </row>
    <row r="15" spans="2:15" ht="18" hidden="1" customHeight="1" x14ac:dyDescent="0.25">
      <c r="D15" s="9" t="s">
        <v>32</v>
      </c>
      <c r="E15" s="14">
        <f>ROUND(E5/E6,0)</f>
        <v>0</v>
      </c>
      <c r="G15" s="98" t="s">
        <v>39</v>
      </c>
      <c r="H15">
        <f>(210000000000*((E14*2)/100000000))+H13</f>
        <v>530985</v>
      </c>
      <c r="I15" s="30">
        <v>33</v>
      </c>
      <c r="J15" s="29">
        <f t="shared" si="0"/>
        <v>0.72000000000000008</v>
      </c>
      <c r="K15" s="23"/>
    </row>
    <row r="16" spans="2:15" ht="18" hidden="1" customHeight="1" x14ac:dyDescent="0.25">
      <c r="D16" s="9" t="s">
        <v>25</v>
      </c>
      <c r="E16" s="15">
        <v>4.1689999999999996</v>
      </c>
      <c r="I16" s="30">
        <v>34</v>
      </c>
      <c r="J16" s="29">
        <f t="shared" si="0"/>
        <v>0.69333333333333336</v>
      </c>
      <c r="K16" s="23"/>
    </row>
    <row r="17" spans="3:11" ht="18" hidden="1" customHeight="1" thickBot="1" x14ac:dyDescent="0.3">
      <c r="D17" s="9" t="s">
        <v>26</v>
      </c>
      <c r="E17" s="15">
        <v>7.6580000000000004</v>
      </c>
      <c r="I17" s="31">
        <v>35</v>
      </c>
      <c r="J17" s="32">
        <f t="shared" si="0"/>
        <v>0.66666666666666663</v>
      </c>
      <c r="K17" s="23"/>
    </row>
    <row r="18" spans="3:11" ht="18" hidden="1" customHeight="1" x14ac:dyDescent="0.25">
      <c r="D18" s="9" t="s">
        <v>27</v>
      </c>
      <c r="E18" s="97">
        <f>$E$16+$E$17</f>
        <v>11.827</v>
      </c>
      <c r="I18" s="19" t="s">
        <v>12</v>
      </c>
      <c r="J18" s="18">
        <f>VLOOKUP(E7,I7:J17,2)</f>
        <v>0.8</v>
      </c>
      <c r="K18" s="23"/>
    </row>
    <row r="19" spans="3:11" ht="18" hidden="1" customHeight="1" x14ac:dyDescent="0.25">
      <c r="D19" s="9" t="s">
        <v>28</v>
      </c>
      <c r="E19" s="15">
        <v>1.9590000000000001</v>
      </c>
      <c r="I19" s="20" t="s">
        <v>13</v>
      </c>
      <c r="J19" s="17">
        <f>J18*E8</f>
        <v>36</v>
      </c>
      <c r="K19" s="23"/>
    </row>
    <row r="20" spans="3:11" ht="18" hidden="1" customHeight="1" thickBot="1" x14ac:dyDescent="0.3">
      <c r="D20" s="9" t="s">
        <v>29</v>
      </c>
      <c r="E20" s="15">
        <v>3.532</v>
      </c>
      <c r="I20" s="21" t="s">
        <v>15</v>
      </c>
      <c r="J20" s="22">
        <f>E5-(0.041*2)-(0.022*E15)</f>
        <v>-8.2000000000000003E-2</v>
      </c>
      <c r="K20" s="23"/>
    </row>
    <row r="21" spans="3:11" ht="18" hidden="1" customHeight="1" x14ac:dyDescent="0.25">
      <c r="D21" s="9" t="s">
        <v>30</v>
      </c>
      <c r="E21" s="15">
        <f>E19+E20</f>
        <v>5.4909999999999997</v>
      </c>
    </row>
    <row r="22" spans="3:11" ht="18" hidden="1" customHeight="1" x14ac:dyDescent="0.25">
      <c r="D22" s="10"/>
      <c r="E22" s="5"/>
      <c r="F22" s="4"/>
      <c r="G22" s="4"/>
      <c r="H22" s="4"/>
    </row>
    <row r="23" spans="3:11" s="3" customFormat="1" ht="18" hidden="1" customHeight="1" x14ac:dyDescent="0.25">
      <c r="C23" s="174">
        <v>1</v>
      </c>
      <c r="D23" s="2"/>
      <c r="E23" s="14"/>
      <c r="F23" s="5"/>
      <c r="G23" s="5"/>
      <c r="H23" s="5"/>
    </row>
    <row r="24" spans="3:11" ht="18" hidden="1" customHeight="1" x14ac:dyDescent="0.25">
      <c r="C24" s="175"/>
      <c r="D24" s="1" t="s">
        <v>2</v>
      </c>
      <c r="E24" s="16">
        <f>($J$19*E4/2)+((($E$9*(1-0.088))+($E$19/$E$6))*H4/2)+$E$16</f>
        <v>90.213687956945776</v>
      </c>
      <c r="F24" s="4"/>
      <c r="G24" s="4">
        <f>($J$19*E4/2)+((($E$9*(1-0.088))+($E$19/$E$6))*H4/2)+$E$16</f>
        <v>90.213687956945776</v>
      </c>
      <c r="H24" s="4"/>
    </row>
    <row r="25" spans="3:11" ht="18" hidden="1" customHeight="1" x14ac:dyDescent="0.25">
      <c r="C25" s="176">
        <v>2</v>
      </c>
      <c r="D25" s="1"/>
      <c r="E25" s="16"/>
      <c r="F25" s="4"/>
      <c r="G25" s="4"/>
      <c r="H25" s="4"/>
      <c r="I25" s="169" t="s">
        <v>14</v>
      </c>
      <c r="J25" s="169"/>
      <c r="K25" s="169"/>
    </row>
    <row r="26" spans="3:11" ht="18" hidden="1" customHeight="1" x14ac:dyDescent="0.25">
      <c r="C26" s="175"/>
      <c r="D26" s="1" t="s">
        <v>2</v>
      </c>
      <c r="E26" s="16">
        <f>($J$19*E4/2)+(((E9*(1-0.088))+(E21/E6))*H4/2)+E16</f>
        <v>97.899016799475319</v>
      </c>
      <c r="F26" s="4"/>
      <c r="G26" s="4">
        <f>($J$19*E4/2)+(((E9*(1-0.088))+(E21/E6))*H4/2)+E16</f>
        <v>97.899016799475319</v>
      </c>
      <c r="H26" s="4"/>
      <c r="I26" s="172" t="s">
        <v>16</v>
      </c>
      <c r="J26" s="173"/>
      <c r="K26" s="173"/>
    </row>
    <row r="27" spans="3:11" ht="18" hidden="1" customHeight="1" x14ac:dyDescent="0.25">
      <c r="C27" s="176">
        <v>3</v>
      </c>
      <c r="D27" s="112"/>
      <c r="E27" s="16"/>
      <c r="F27" s="4"/>
      <c r="G27" s="4"/>
      <c r="H27" s="4"/>
    </row>
    <row r="28" spans="3:11" ht="18" hidden="1" customHeight="1" x14ac:dyDescent="0.25">
      <c r="C28" s="175"/>
      <c r="D28" s="1" t="s">
        <v>2</v>
      </c>
      <c r="E28" s="16">
        <f>($J$19*E4/2)+(((E9*(1-0.088))+(E19/E6))*H4/2)+E18</f>
        <v>97.871687956945777</v>
      </c>
      <c r="F28" s="4"/>
      <c r="G28" s="4">
        <f>($J$19*E4/2)+(((E9*(1-0.088))+(E19/E6))*H4/2)+E18</f>
        <v>97.871687956945777</v>
      </c>
      <c r="H28" s="4"/>
    </row>
    <row r="29" spans="3:11" ht="18" hidden="1" customHeight="1" x14ac:dyDescent="0.25">
      <c r="C29" s="176">
        <v>4</v>
      </c>
      <c r="D29" s="112"/>
      <c r="E29" s="16"/>
      <c r="F29" s="4"/>
      <c r="G29" s="4"/>
      <c r="H29" s="4"/>
    </row>
    <row r="30" spans="3:11" ht="18" hidden="1" customHeight="1" x14ac:dyDescent="0.25">
      <c r="C30" s="175"/>
      <c r="D30" s="1" t="s">
        <v>2</v>
      </c>
      <c r="E30" s="16">
        <f>($J$19*E4/2)+(((E9*(1-0.088))+(E21/E6))*H4/2)+E18</f>
        <v>105.55701679947532</v>
      </c>
      <c r="F30" s="4"/>
      <c r="G30" s="4">
        <f>($J$19*E4/2)+(((E9*(1-0.088))+(E21/E6))*H4/2)+E18</f>
        <v>105.55701679947532</v>
      </c>
      <c r="H30" s="4"/>
    </row>
    <row r="31" spans="3:11" ht="18" hidden="1" customHeight="1" x14ac:dyDescent="0.25">
      <c r="C31" s="176">
        <v>5</v>
      </c>
      <c r="D31" s="112"/>
      <c r="E31" s="16"/>
      <c r="F31" s="4"/>
      <c r="G31" s="4"/>
      <c r="H31" s="4"/>
    </row>
    <row r="32" spans="3:11" ht="18" hidden="1" customHeight="1" x14ac:dyDescent="0.25">
      <c r="C32" s="175"/>
      <c r="D32" s="1" t="s">
        <v>2</v>
      </c>
      <c r="E32" s="16">
        <f>($J$19*E4/2)+(((E9*(1-0.088))+(E19/E6))*H4/2)+(E16+(2*E17))</f>
        <v>105.52968795694578</v>
      </c>
      <c r="F32" s="4"/>
      <c r="G32" s="4">
        <f>($J$19*E4/2)+(((E9*(1-0.088))+(E19/E6))*H4/2)+(E16+(2*E17))</f>
        <v>105.52968795694578</v>
      </c>
      <c r="H32" s="4"/>
    </row>
    <row r="33" spans="3:36" ht="18" hidden="1" customHeight="1" x14ac:dyDescent="0.25">
      <c r="C33" s="176">
        <v>6</v>
      </c>
      <c r="D33" s="112"/>
      <c r="E33" s="16"/>
      <c r="F33" s="4"/>
      <c r="G33" s="4"/>
      <c r="H33" s="4"/>
    </row>
    <row r="34" spans="3:36" ht="18" hidden="1" customHeight="1" x14ac:dyDescent="0.25">
      <c r="C34" s="175"/>
      <c r="D34" s="1" t="s">
        <v>2</v>
      </c>
      <c r="E34" s="16">
        <f>($J$19*E4/2)+(((E9*(1-0.088))+(E21/E6))*H4/2)+(E16+(2*E17))</f>
        <v>113.21501679947532</v>
      </c>
      <c r="F34" s="4"/>
      <c r="G34" s="4">
        <f>($J$19*E4/2)+(((E9*(1-0.088))+(E21/E6))*H4/2)+(E16+(2*E17))</f>
        <v>113.21501679947532</v>
      </c>
      <c r="H34" s="4"/>
    </row>
    <row r="35" spans="3:36" ht="18" hidden="1" customHeight="1" x14ac:dyDescent="0.25">
      <c r="C35" s="96"/>
      <c r="D35" s="54"/>
      <c r="E35" s="5"/>
      <c r="F35" s="4"/>
      <c r="G35" s="4"/>
      <c r="H35" s="4"/>
    </row>
    <row r="36" spans="3:36" ht="18" hidden="1" customHeight="1" x14ac:dyDescent="0.25">
      <c r="D36" s="10"/>
      <c r="E36" s="5"/>
      <c r="F36" s="4"/>
      <c r="G36" s="4"/>
      <c r="H36" s="4"/>
    </row>
    <row r="37" spans="3:36" ht="18" hidden="1" customHeight="1" x14ac:dyDescent="0.3">
      <c r="C37" s="179"/>
      <c r="D37" s="180"/>
      <c r="E37" s="127"/>
      <c r="F37" s="4"/>
      <c r="G37" s="4"/>
      <c r="H37" s="4"/>
    </row>
    <row r="38" spans="3:36" ht="20.100000000000001" hidden="1" customHeight="1" x14ac:dyDescent="0.25">
      <c r="D38" s="177"/>
      <c r="E38" s="178"/>
      <c r="F38" s="4"/>
      <c r="G38" s="4"/>
      <c r="H38" s="4"/>
      <c r="P38" s="60" t="s">
        <v>35</v>
      </c>
    </row>
    <row r="39" spans="3:36" ht="18" hidden="1" customHeight="1" x14ac:dyDescent="0.3">
      <c r="C39" s="38"/>
      <c r="D39" s="38"/>
      <c r="E39" s="128"/>
      <c r="F39" s="6"/>
      <c r="G39" s="7"/>
      <c r="H39" s="7"/>
      <c r="P39" s="170" t="s">
        <v>33</v>
      </c>
      <c r="Q39" s="171"/>
      <c r="R39" s="94">
        <v>2</v>
      </c>
      <c r="S39" s="44">
        <v>2</v>
      </c>
      <c r="T39" s="94">
        <v>2.5</v>
      </c>
      <c r="U39" s="45">
        <v>2.5</v>
      </c>
      <c r="V39" s="95">
        <v>3</v>
      </c>
      <c r="W39" s="44">
        <v>3</v>
      </c>
      <c r="X39" s="94">
        <v>3.5</v>
      </c>
      <c r="Y39" s="45">
        <v>3.5</v>
      </c>
      <c r="Z39" s="95">
        <v>4</v>
      </c>
      <c r="AA39" s="44">
        <v>4</v>
      </c>
      <c r="AB39" s="94">
        <v>4.5</v>
      </c>
      <c r="AC39" s="45">
        <v>4.5</v>
      </c>
      <c r="AD39" s="95">
        <v>5</v>
      </c>
      <c r="AE39" s="44">
        <v>5</v>
      </c>
      <c r="AF39" s="94">
        <v>5.5</v>
      </c>
      <c r="AG39" s="45">
        <v>5.5</v>
      </c>
      <c r="AH39" s="95">
        <v>6</v>
      </c>
      <c r="AI39" s="45">
        <v>6</v>
      </c>
    </row>
    <row r="40" spans="3:36" ht="18" hidden="1" customHeight="1" x14ac:dyDescent="0.3">
      <c r="C40" s="130">
        <v>1</v>
      </c>
      <c r="D40" s="141" t="s">
        <v>31</v>
      </c>
      <c r="E40" s="133">
        <f>(((384*$H$13*100000)/(5*$E24*E10))^(1/3))/100</f>
        <v>4.2551184511546314</v>
      </c>
      <c r="F40" s="6"/>
      <c r="G40" s="7"/>
      <c r="H40" s="7"/>
      <c r="P40" s="125" t="s">
        <v>0</v>
      </c>
      <c r="Q40" s="126"/>
      <c r="R40" s="56">
        <v>5</v>
      </c>
      <c r="S40" s="58">
        <v>15</v>
      </c>
      <c r="T40" s="56">
        <v>5</v>
      </c>
      <c r="U40" s="57">
        <v>15</v>
      </c>
      <c r="V40" s="59">
        <v>5</v>
      </c>
      <c r="W40" s="58">
        <v>15</v>
      </c>
      <c r="X40" s="56">
        <v>5</v>
      </c>
      <c r="Y40" s="57">
        <v>15</v>
      </c>
      <c r="Z40" s="59">
        <v>5</v>
      </c>
      <c r="AA40" s="58">
        <v>15</v>
      </c>
      <c r="AB40" s="56">
        <v>5</v>
      </c>
      <c r="AC40" s="57">
        <v>15</v>
      </c>
      <c r="AD40" s="59">
        <v>5</v>
      </c>
      <c r="AE40" s="58">
        <v>15</v>
      </c>
      <c r="AF40" s="56">
        <v>5</v>
      </c>
      <c r="AG40" s="57">
        <v>15</v>
      </c>
      <c r="AH40" s="59">
        <v>5</v>
      </c>
      <c r="AI40" s="57">
        <v>15</v>
      </c>
    </row>
    <row r="41" spans="3:36" ht="18" hidden="1" customHeight="1" x14ac:dyDescent="0.3">
      <c r="C41" s="38"/>
      <c r="D41" s="140" t="s">
        <v>52</v>
      </c>
      <c r="E41" s="40"/>
      <c r="F41" s="6"/>
      <c r="G41" s="7"/>
      <c r="H41" s="7"/>
      <c r="P41" s="161" t="s">
        <v>34</v>
      </c>
      <c r="Q41" s="152">
        <v>45</v>
      </c>
      <c r="R41" s="61">
        <f t="shared" ref="R41:AA45" si="1">(((384*$H$13*100000)/(5*((((VLOOKUP(R$40,$I$7:$J$17,2))*$Q41)*R$39/2)+((($E$9*(1-0.088))+($E$19/$E$6))*((R$39/COS(R$40*PI()/180))/2))+$E$16)*$E$10))^(1/3))/100</f>
        <v>4.8403578398810634</v>
      </c>
      <c r="S41" s="62">
        <f t="shared" si="1"/>
        <v>4.8230599065757556</v>
      </c>
      <c r="T41" s="61">
        <f t="shared" si="1"/>
        <v>4.5139539503219739</v>
      </c>
      <c r="U41" s="63">
        <f t="shared" si="1"/>
        <v>4.4976016014991504</v>
      </c>
      <c r="V41" s="64">
        <f t="shared" si="1"/>
        <v>4.2608929550932668</v>
      </c>
      <c r="W41" s="62">
        <f t="shared" si="1"/>
        <v>4.2453151502882926</v>
      </c>
      <c r="X41" s="61">
        <f t="shared" si="1"/>
        <v>4.0564658511720122</v>
      </c>
      <c r="Y41" s="63">
        <f t="shared" si="1"/>
        <v>4.0415371951425945</v>
      </c>
      <c r="Z41" s="64">
        <f t="shared" si="1"/>
        <v>3.88636421652232</v>
      </c>
      <c r="AA41" s="62">
        <f t="shared" si="1"/>
        <v>3.8719901610098431</v>
      </c>
      <c r="AB41" s="61">
        <f t="shared" ref="AB41:AI45" si="2">(((384*$H$13*100000)/(5*((((VLOOKUP(AB$40,$I$7:$J$17,2))*$Q41)*AB$39/2)+((($E$9*(1-0.088))+($E$19/$E$6))*((AB$39/COS(AB$40*PI()/180))/2))+$E$16)*$E$10))^(1/3))/100</f>
        <v>3.7416236879575302</v>
      </c>
      <c r="AC41" s="63">
        <f t="shared" si="2"/>
        <v>3.7277310190736106</v>
      </c>
      <c r="AD41" s="64">
        <f t="shared" si="2"/>
        <v>3.6162893740490447</v>
      </c>
      <c r="AE41" s="62">
        <f t="shared" si="2"/>
        <v>3.6028200652053179</v>
      </c>
      <c r="AF41" s="61">
        <f t="shared" si="2"/>
        <v>3.506222064704545</v>
      </c>
      <c r="AG41" s="63">
        <f t="shared" si="2"/>
        <v>3.4931292016500071</v>
      </c>
      <c r="AH41" s="64">
        <f t="shared" si="2"/>
        <v>3.408438596815401</v>
      </c>
      <c r="AI41" s="63">
        <f t="shared" si="2"/>
        <v>3.3956835979327491</v>
      </c>
    </row>
    <row r="42" spans="3:36" ht="18" hidden="1" customHeight="1" x14ac:dyDescent="0.3">
      <c r="C42" s="38"/>
      <c r="D42" s="39"/>
      <c r="E42" s="40"/>
      <c r="F42" s="6"/>
      <c r="G42" s="7"/>
      <c r="H42" s="7"/>
      <c r="P42" s="162"/>
      <c r="Q42" s="153">
        <v>55</v>
      </c>
      <c r="R42" s="65">
        <f t="shared" si="1"/>
        <v>4.6463999834892373</v>
      </c>
      <c r="S42" s="66">
        <f t="shared" si="1"/>
        <v>4.6317002841474899</v>
      </c>
      <c r="T42" s="65">
        <f t="shared" si="1"/>
        <v>4.3307777731955914</v>
      </c>
      <c r="U42" s="67">
        <f t="shared" si="1"/>
        <v>4.3169107803806286</v>
      </c>
      <c r="V42" s="68">
        <f t="shared" si="1"/>
        <v>4.0865091914971794</v>
      </c>
      <c r="W42" s="66">
        <f t="shared" si="1"/>
        <v>4.073317905369179</v>
      </c>
      <c r="X42" s="65">
        <f t="shared" si="1"/>
        <v>3.8894295312527669</v>
      </c>
      <c r="Y42" s="67">
        <f t="shared" si="1"/>
        <v>3.8768010482838609</v>
      </c>
      <c r="Z42" s="68">
        <f t="shared" si="1"/>
        <v>3.7255921511736751</v>
      </c>
      <c r="AA42" s="66">
        <f t="shared" si="1"/>
        <v>3.713442375174588</v>
      </c>
      <c r="AB42" s="65">
        <f t="shared" si="2"/>
        <v>3.5862804684055045</v>
      </c>
      <c r="AC42" s="67">
        <f t="shared" si="2"/>
        <v>3.574544828297018</v>
      </c>
      <c r="AD42" s="68">
        <f t="shared" si="2"/>
        <v>3.4657148368372876</v>
      </c>
      <c r="AE42" s="66">
        <f t="shared" si="2"/>
        <v>3.4543424741067854</v>
      </c>
      <c r="AF42" s="65">
        <f t="shared" si="2"/>
        <v>3.3598836760187396</v>
      </c>
      <c r="AG42" s="67">
        <f t="shared" si="2"/>
        <v>3.3488336682562387</v>
      </c>
      <c r="AH42" s="68">
        <f t="shared" si="2"/>
        <v>3.2658991917685141</v>
      </c>
      <c r="AI42" s="67">
        <f t="shared" si="2"/>
        <v>3.2551380125601641</v>
      </c>
    </row>
    <row r="43" spans="3:36" ht="18" hidden="1" customHeight="1" x14ac:dyDescent="0.3">
      <c r="C43" s="38"/>
      <c r="D43" s="39"/>
      <c r="E43" s="40"/>
      <c r="F43" s="6"/>
      <c r="G43" s="7"/>
      <c r="H43" s="7"/>
      <c r="P43" s="162"/>
      <c r="Q43" s="153">
        <v>65</v>
      </c>
      <c r="R43" s="65">
        <f t="shared" si="1"/>
        <v>4.4802119970064531</v>
      </c>
      <c r="S43" s="66">
        <f t="shared" si="1"/>
        <v>4.4674968818366212</v>
      </c>
      <c r="T43" s="65">
        <f t="shared" si="1"/>
        <v>4.1741251739136178</v>
      </c>
      <c r="U43" s="67">
        <f t="shared" si="1"/>
        <v>4.1621502959924115</v>
      </c>
      <c r="V43" s="68">
        <f t="shared" si="1"/>
        <v>3.9375682134821797</v>
      </c>
      <c r="W43" s="66">
        <f t="shared" si="1"/>
        <v>3.9261897239612527</v>
      </c>
      <c r="X43" s="65">
        <f t="shared" si="1"/>
        <v>3.7468973203723448</v>
      </c>
      <c r="Y43" s="67">
        <f t="shared" si="1"/>
        <v>3.7360132075410597</v>
      </c>
      <c r="Z43" s="68">
        <f t="shared" si="1"/>
        <v>3.5885024030432207</v>
      </c>
      <c r="AA43" s="66">
        <f t="shared" si="1"/>
        <v>3.5780373650607817</v>
      </c>
      <c r="AB43" s="65">
        <f t="shared" si="2"/>
        <v>3.4538934393051335</v>
      </c>
      <c r="AC43" s="67">
        <f t="shared" si="2"/>
        <v>3.4437900219459054</v>
      </c>
      <c r="AD43" s="68">
        <f t="shared" si="2"/>
        <v>3.3374491622457976</v>
      </c>
      <c r="AE43" s="66">
        <f t="shared" si="2"/>
        <v>3.3276623242430792</v>
      </c>
      <c r="AF43" s="65">
        <f t="shared" si="2"/>
        <v>3.2352723666846934</v>
      </c>
      <c r="AG43" s="67">
        <f t="shared" si="2"/>
        <v>3.2257659974513073</v>
      </c>
      <c r="AH43" s="68">
        <f t="shared" si="2"/>
        <v>3.1445601760661854</v>
      </c>
      <c r="AI43" s="67">
        <f t="shared" si="2"/>
        <v>3.1353047766088973</v>
      </c>
    </row>
    <row r="44" spans="3:36" ht="18" hidden="1" customHeight="1" x14ac:dyDescent="0.3">
      <c r="C44" s="38"/>
      <c r="D44" s="39"/>
      <c r="E44" s="40"/>
      <c r="F44" s="6"/>
      <c r="G44" s="7"/>
      <c r="H44" s="7"/>
      <c r="P44" s="162"/>
      <c r="Q44" s="154">
        <v>90</v>
      </c>
      <c r="R44" s="69">
        <f t="shared" si="1"/>
        <v>4.1493761304491548</v>
      </c>
      <c r="S44" s="70">
        <f t="shared" si="1"/>
        <v>4.1400099298052337</v>
      </c>
      <c r="T44" s="69">
        <f t="shared" si="1"/>
        <v>3.8630071459937363</v>
      </c>
      <c r="U44" s="71">
        <f t="shared" si="1"/>
        <v>3.8542123174717635</v>
      </c>
      <c r="V44" s="72">
        <f t="shared" si="1"/>
        <v>3.6422391483072016</v>
      </c>
      <c r="W44" s="70">
        <f t="shared" si="1"/>
        <v>3.63389909237072</v>
      </c>
      <c r="X44" s="69">
        <f t="shared" si="1"/>
        <v>3.4646029876448359</v>
      </c>
      <c r="Y44" s="71">
        <f t="shared" si="1"/>
        <v>3.4566368543884156</v>
      </c>
      <c r="Z44" s="72">
        <f t="shared" si="1"/>
        <v>3.3172249872842148</v>
      </c>
      <c r="AA44" s="70">
        <f t="shared" si="1"/>
        <v>3.3095739716952113</v>
      </c>
      <c r="AB44" s="69">
        <f t="shared" si="2"/>
        <v>3.192101560750674</v>
      </c>
      <c r="AC44" s="71">
        <f t="shared" si="2"/>
        <v>3.1847212640603755</v>
      </c>
      <c r="AD44" s="72">
        <f t="shared" si="2"/>
        <v>3.0839470584203017</v>
      </c>
      <c r="AE44" s="70">
        <f t="shared" si="2"/>
        <v>3.0768029465639275</v>
      </c>
      <c r="AF44" s="69">
        <f t="shared" si="2"/>
        <v>2.9891043189377622</v>
      </c>
      <c r="AG44" s="71">
        <f t="shared" si="2"/>
        <v>2.9821688737320051</v>
      </c>
      <c r="AH44" s="72">
        <f t="shared" si="2"/>
        <v>2.904947370956231</v>
      </c>
      <c r="AI44" s="71">
        <f t="shared" si="2"/>
        <v>2.8981982221693796</v>
      </c>
    </row>
    <row r="45" spans="3:36" ht="18" hidden="1" customHeight="1" x14ac:dyDescent="0.25">
      <c r="C45" s="38"/>
      <c r="D45" s="38"/>
      <c r="E45" s="128"/>
      <c r="F45" s="8"/>
      <c r="G45" s="7"/>
      <c r="H45" s="7"/>
      <c r="O45" s="54"/>
      <c r="P45" s="163"/>
      <c r="Q45" s="136">
        <v>140</v>
      </c>
      <c r="R45" s="69">
        <f t="shared" si="1"/>
        <v>3.6993464759258372</v>
      </c>
      <c r="S45" s="69">
        <f t="shared" si="1"/>
        <v>3.6934212739324233</v>
      </c>
      <c r="T45" s="69">
        <f t="shared" si="1"/>
        <v>3.4411496647266642</v>
      </c>
      <c r="U45" s="69">
        <f t="shared" si="1"/>
        <v>3.435604443290349</v>
      </c>
      <c r="V45" s="69">
        <f t="shared" si="1"/>
        <v>3.2426549571394396</v>
      </c>
      <c r="W45" s="69">
        <f t="shared" si="1"/>
        <v>3.2374082946241667</v>
      </c>
      <c r="X45" s="69">
        <f t="shared" si="1"/>
        <v>3.0832498148045948</v>
      </c>
      <c r="Y45" s="69">
        <f t="shared" si="1"/>
        <v>3.0782465014161566</v>
      </c>
      <c r="Z45" s="69">
        <f t="shared" si="1"/>
        <v>2.9511858449134838</v>
      </c>
      <c r="AA45" s="69">
        <f t="shared" si="1"/>
        <v>2.9463863235121477</v>
      </c>
      <c r="AB45" s="69">
        <f t="shared" si="2"/>
        <v>2.8391864999910705</v>
      </c>
      <c r="AC45" s="69">
        <f t="shared" si="2"/>
        <v>2.8345612258107669</v>
      </c>
      <c r="AD45" s="69">
        <f t="shared" si="2"/>
        <v>2.7424599481078609</v>
      </c>
      <c r="AE45" s="69">
        <f t="shared" si="2"/>
        <v>2.7379861279783979</v>
      </c>
      <c r="AF45" s="69">
        <f t="shared" si="2"/>
        <v>2.6576981041979892</v>
      </c>
      <c r="AG45" s="69">
        <f t="shared" si="2"/>
        <v>2.6533576915304029</v>
      </c>
      <c r="AH45" s="69">
        <f t="shared" si="2"/>
        <v>2.5825299216567741</v>
      </c>
      <c r="AI45" s="69">
        <f t="shared" si="2"/>
        <v>2.5783083213373699</v>
      </c>
      <c r="AJ45" s="54"/>
    </row>
    <row r="46" spans="3:36" ht="18" customHeight="1" x14ac:dyDescent="0.3">
      <c r="C46" s="130">
        <v>2</v>
      </c>
      <c r="D46" s="160" t="s">
        <v>53</v>
      </c>
      <c r="E46" s="133">
        <f>1.12*((((384*$H$13*100000)/(5*$E26*E10))^(1/3))/100)</f>
        <v>4.6376116592401235</v>
      </c>
      <c r="F46" s="8"/>
      <c r="G46" s="7"/>
      <c r="H46" s="7"/>
      <c r="O46" s="54"/>
      <c r="P46" s="60" t="s">
        <v>36</v>
      </c>
      <c r="AJ46" s="54"/>
    </row>
    <row r="47" spans="3:36" ht="18" customHeight="1" x14ac:dyDescent="0.25">
      <c r="C47" s="38"/>
      <c r="D47" s="39"/>
      <c r="E47" s="40"/>
      <c r="F47" s="8"/>
      <c r="G47" s="7"/>
      <c r="H47" s="7"/>
      <c r="O47" s="54"/>
      <c r="P47" s="161" t="s">
        <v>34</v>
      </c>
      <c r="Q47" s="41">
        <v>45</v>
      </c>
      <c r="R47" s="142">
        <f>1.12*((((384*$H$13*100000)/(5*((((VLOOKUP(R$40,$I$7:$J$17,2))*$Q47)*R$39/2)+((($E$9*(1-0.088))+($E$21/$E$6))*((R$39/COS(R$40*PI()/180))/2))+$E$16)*$E$10))^(1/3))/100)</f>
        <v>5.2795932936201577</v>
      </c>
      <c r="S47" s="142">
        <f>1.12*((((384*$H$13*100000)/(5*((((VLOOKUP(S$40,$I$7:$J$17,2))*$Q47)*S$39/2)+((($E$9*(1-0.088))+($E$21/$E$6))*((S$39/COS(S$40*PI()/180))/2))+$E$16)*$E$10))^(1/3))/100)</f>
        <v>5.2580086168044318</v>
      </c>
      <c r="T47" s="142">
        <f t="shared" ref="S47:AI51" si="3">1.12*((((384*$H$13*100000)/(5*((((VLOOKUP(T$40,$I$7:$J$17,2))*$Q47)*T$39/2)+((($E$9*(1-0.088))+($E$21/$E$6))*((T$39/COS(T$40*PI()/180))/2))+$E$16)*$E$10))^(1/3))/100)</f>
        <v>4.9218434067858823</v>
      </c>
      <c r="U47" s="142">
        <f t="shared" si="3"/>
        <v>4.9014673664029926</v>
      </c>
      <c r="V47" s="142">
        <f t="shared" si="3"/>
        <v>4.6448048633418084</v>
      </c>
      <c r="W47" s="142">
        <f t="shared" si="3"/>
        <v>4.625412574071107</v>
      </c>
      <c r="X47" s="142">
        <f t="shared" si="3"/>
        <v>4.4211920133294624</v>
      </c>
      <c r="Y47" s="142">
        <f t="shared" si="3"/>
        <v>4.4026207585902171</v>
      </c>
      <c r="Z47" s="142">
        <f t="shared" si="3"/>
        <v>4.2352391827342819</v>
      </c>
      <c r="AA47" s="142">
        <f t="shared" si="3"/>
        <v>4.2173672880354731</v>
      </c>
      <c r="AB47" s="142">
        <f t="shared" si="3"/>
        <v>4.0770848342964801</v>
      </c>
      <c r="AC47" s="142">
        <f t="shared" si="3"/>
        <v>4.0598186200611606</v>
      </c>
      <c r="AD47" s="142">
        <f t="shared" si="3"/>
        <v>3.940186074974366</v>
      </c>
      <c r="AE47" s="142">
        <f t="shared" si="3"/>
        <v>3.923451607127288</v>
      </c>
      <c r="AF47" s="142">
        <f t="shared" si="3"/>
        <v>3.8199993398377914</v>
      </c>
      <c r="AG47" s="142">
        <f t="shared" si="3"/>
        <v>3.8037370363681249</v>
      </c>
      <c r="AH47" s="142">
        <f t="shared" si="3"/>
        <v>3.7132525833259939</v>
      </c>
      <c r="AI47" s="142">
        <f t="shared" si="3"/>
        <v>3.6974135704855868</v>
      </c>
      <c r="AJ47" s="54"/>
    </row>
    <row r="48" spans="3:36" ht="18" customHeight="1" x14ac:dyDescent="0.25">
      <c r="C48" s="38"/>
      <c r="D48" s="39"/>
      <c r="E48" s="40"/>
      <c r="F48" s="8"/>
      <c r="G48" s="7"/>
      <c r="H48" s="7"/>
      <c r="O48" s="54"/>
      <c r="P48" s="162"/>
      <c r="Q48" s="42">
        <v>55</v>
      </c>
      <c r="R48" s="143">
        <f t="shared" ref="R48:AG51" si="4">1.12*((((384*$H$13*100000)/(5*((((VLOOKUP(R$40,$I$7:$J$17,2))*$Q48)*R$39/2)+((($E$9*(1-0.088))+($E$21/$E$6))*((R$39/COS(R$40*PI()/180))/2))+$E$16)*$E$10))^(1/3))/100)</f>
        <v>5.08301205399846</v>
      </c>
      <c r="S48" s="143">
        <f t="shared" si="4"/>
        <v>5.0644507067968778</v>
      </c>
      <c r="T48" s="143">
        <f t="shared" si="4"/>
        <v>4.7364218740404738</v>
      </c>
      <c r="U48" s="143">
        <f t="shared" si="4"/>
        <v>4.7189314403148037</v>
      </c>
      <c r="V48" s="143">
        <f t="shared" si="4"/>
        <v>4.468433845245916</v>
      </c>
      <c r="W48" s="143">
        <f t="shared" si="4"/>
        <v>4.4518082475156779</v>
      </c>
      <c r="X48" s="143">
        <f t="shared" si="4"/>
        <v>4.2523564424991722</v>
      </c>
      <c r="Y48" s="143">
        <f t="shared" si="4"/>
        <v>4.2364488765312069</v>
      </c>
      <c r="Z48" s="143">
        <f t="shared" si="4"/>
        <v>4.0728113769980903</v>
      </c>
      <c r="AA48" s="143">
        <f t="shared" si="4"/>
        <v>4.0575131581441299</v>
      </c>
      <c r="AB48" s="143">
        <f t="shared" si="4"/>
        <v>3.9201993677310747</v>
      </c>
      <c r="AC48" s="143">
        <f t="shared" si="4"/>
        <v>3.9054273997685636</v>
      </c>
      <c r="AD48" s="143">
        <f t="shared" si="4"/>
        <v>3.788161559854903</v>
      </c>
      <c r="AE48" s="143">
        <f t="shared" si="4"/>
        <v>3.7738505993683402</v>
      </c>
      <c r="AF48" s="143">
        <f t="shared" si="4"/>
        <v>3.6722876659724064</v>
      </c>
      <c r="AG48" s="143">
        <f t="shared" si="4"/>
        <v>3.6583853436872462</v>
      </c>
      <c r="AH48" s="143">
        <f t="shared" si="3"/>
        <v>3.5694048033893404</v>
      </c>
      <c r="AI48" s="143">
        <f t="shared" si="3"/>
        <v>3.5558682979330123</v>
      </c>
      <c r="AJ48" s="54"/>
    </row>
    <row r="49" spans="3:36" ht="18" customHeight="1" x14ac:dyDescent="0.25">
      <c r="C49" s="38"/>
      <c r="D49" s="39"/>
      <c r="E49" s="40"/>
      <c r="F49" s="8"/>
      <c r="G49" s="7"/>
      <c r="H49" s="7"/>
      <c r="O49" s="54"/>
      <c r="P49" s="162"/>
      <c r="Q49" s="42">
        <v>65</v>
      </c>
      <c r="R49" s="143">
        <f t="shared" si="4"/>
        <v>4.912781877581482</v>
      </c>
      <c r="S49" s="143">
        <f t="shared" si="3"/>
        <v>4.8965733943280672</v>
      </c>
      <c r="T49" s="143">
        <f t="shared" si="3"/>
        <v>4.5761190875242352</v>
      </c>
      <c r="U49" s="143">
        <f t="shared" si="3"/>
        <v>4.5608679412486959</v>
      </c>
      <c r="V49" s="143">
        <f t="shared" si="3"/>
        <v>4.3161256547362052</v>
      </c>
      <c r="W49" s="143">
        <f t="shared" si="3"/>
        <v>4.3016429075391471</v>
      </c>
      <c r="X49" s="143">
        <f t="shared" si="3"/>
        <v>4.1066733813604275</v>
      </c>
      <c r="Y49" s="143">
        <f t="shared" si="3"/>
        <v>4.0928259971502854</v>
      </c>
      <c r="Z49" s="143">
        <f t="shared" si="3"/>
        <v>3.9327431174870191</v>
      </c>
      <c r="AA49" s="143">
        <f t="shared" si="3"/>
        <v>3.9194333486030803</v>
      </c>
      <c r="AB49" s="143">
        <f t="shared" si="3"/>
        <v>3.7849753495996445</v>
      </c>
      <c r="AC49" s="143">
        <f t="shared" si="3"/>
        <v>3.7721288605138654</v>
      </c>
      <c r="AD49" s="143">
        <f t="shared" si="3"/>
        <v>3.6571778797987378</v>
      </c>
      <c r="AE49" s="143">
        <f t="shared" si="3"/>
        <v>3.6447365376667027</v>
      </c>
      <c r="AF49" s="143">
        <f t="shared" si="3"/>
        <v>3.5450602713934307</v>
      </c>
      <c r="AG49" s="143">
        <f t="shared" si="3"/>
        <v>3.5329775582116039</v>
      </c>
      <c r="AH49" s="143">
        <f t="shared" si="3"/>
        <v>3.4455383399786528</v>
      </c>
      <c r="AI49" s="143">
        <f t="shared" si="3"/>
        <v>3.4337763124276477</v>
      </c>
      <c r="AJ49" s="54"/>
    </row>
    <row r="50" spans="3:36" ht="18" customHeight="1" x14ac:dyDescent="0.25">
      <c r="C50" s="38"/>
      <c r="D50" s="39"/>
      <c r="E50" s="40"/>
      <c r="F50" s="8"/>
      <c r="G50" s="7"/>
      <c r="H50" s="7"/>
      <c r="O50" s="54"/>
      <c r="P50" s="162"/>
      <c r="Q50" s="42">
        <v>90</v>
      </c>
      <c r="R50" s="143">
        <f t="shared" si="4"/>
        <v>4.5693427780424107</v>
      </c>
      <c r="S50" s="143">
        <f t="shared" si="3"/>
        <v>4.5571975237211895</v>
      </c>
      <c r="T50" s="143">
        <f t="shared" si="3"/>
        <v>4.2533834006811349</v>
      </c>
      <c r="U50" s="143">
        <f t="shared" si="3"/>
        <v>4.2419856049027667</v>
      </c>
      <c r="V50" s="143">
        <f t="shared" si="3"/>
        <v>4.009919177166549</v>
      </c>
      <c r="W50" s="143">
        <f t="shared" si="3"/>
        <v>3.9991149507951853</v>
      </c>
      <c r="X50" s="143">
        <f t="shared" si="3"/>
        <v>3.8140856941815136</v>
      </c>
      <c r="Y50" s="143">
        <f t="shared" si="3"/>
        <v>3.8037687625950407</v>
      </c>
      <c r="Z50" s="143">
        <f t="shared" si="3"/>
        <v>3.6516495816044818</v>
      </c>
      <c r="AA50" s="143">
        <f t="shared" si="3"/>
        <v>3.6417428561477596</v>
      </c>
      <c r="AB50" s="143">
        <f t="shared" si="3"/>
        <v>3.5137676090307202</v>
      </c>
      <c r="AC50" s="143">
        <f t="shared" si="3"/>
        <v>3.5042129990570405</v>
      </c>
      <c r="AD50" s="143">
        <f t="shared" si="3"/>
        <v>3.3946024573296181</v>
      </c>
      <c r="AE50" s="143">
        <f t="shared" si="3"/>
        <v>3.3853548448132105</v>
      </c>
      <c r="AF50" s="143">
        <f t="shared" si="3"/>
        <v>3.2901168044731963</v>
      </c>
      <c r="AG50" s="143">
        <f t="shared" si="3"/>
        <v>3.2811402783666681</v>
      </c>
      <c r="AH50" s="143">
        <f t="shared" si="3"/>
        <v>3.197412602736327</v>
      </c>
      <c r="AI50" s="143">
        <f t="shared" si="3"/>
        <v>3.1886779966859984</v>
      </c>
      <c r="AJ50" s="54"/>
    </row>
    <row r="51" spans="3:36" ht="18" customHeight="1" x14ac:dyDescent="0.3">
      <c r="C51" s="38"/>
      <c r="D51" s="38"/>
      <c r="E51" s="128"/>
      <c r="F51" s="6"/>
      <c r="G51" s="7"/>
      <c r="H51" s="7"/>
      <c r="O51" s="54"/>
      <c r="P51" s="163"/>
      <c r="Q51" s="144">
        <v>140</v>
      </c>
      <c r="R51" s="145">
        <f t="shared" si="4"/>
        <v>4.0935335966434172</v>
      </c>
      <c r="S51" s="145">
        <f t="shared" si="3"/>
        <v>4.08569869921019</v>
      </c>
      <c r="T51" s="145">
        <f t="shared" si="3"/>
        <v>3.807548478962945</v>
      </c>
      <c r="U51" s="145">
        <f t="shared" si="3"/>
        <v>3.8002181768116166</v>
      </c>
      <c r="V51" s="145">
        <f t="shared" si="3"/>
        <v>3.5877438438712974</v>
      </c>
      <c r="W51" s="145">
        <f t="shared" si="3"/>
        <v>3.5808095781143572</v>
      </c>
      <c r="X51" s="145">
        <f t="shared" si="3"/>
        <v>3.4112548183725879</v>
      </c>
      <c r="Y51" s="145">
        <f t="shared" si="3"/>
        <v>3.4046431133018693</v>
      </c>
      <c r="Z51" s="145">
        <f t="shared" si="3"/>
        <v>3.2650551309682969</v>
      </c>
      <c r="AA51" s="145">
        <f t="shared" si="3"/>
        <v>3.2587134078446458</v>
      </c>
      <c r="AB51" s="145">
        <f t="shared" si="3"/>
        <v>3.1410793748138777</v>
      </c>
      <c r="AC51" s="145">
        <f t="shared" si="3"/>
        <v>3.1349683987575401</v>
      </c>
      <c r="AD51" s="145">
        <f t="shared" si="3"/>
        <v>3.0340175307226382</v>
      </c>
      <c r="AE51" s="145">
        <f t="shared" si="3"/>
        <v>3.0281070536696624</v>
      </c>
      <c r="AF51" s="145">
        <f t="shared" si="3"/>
        <v>2.9402044820365654</v>
      </c>
      <c r="AG51" s="145">
        <f t="shared" si="3"/>
        <v>2.9344705679072263</v>
      </c>
      <c r="AH51" s="145">
        <f t="shared" si="3"/>
        <v>2.8570136885073767</v>
      </c>
      <c r="AI51" s="145">
        <f t="shared" si="3"/>
        <v>2.8514369875341443</v>
      </c>
      <c r="AJ51" s="54"/>
    </row>
    <row r="52" spans="3:36" ht="18" hidden="1" customHeight="1" x14ac:dyDescent="0.3">
      <c r="C52" s="130">
        <v>3</v>
      </c>
      <c r="D52" s="141" t="s">
        <v>31</v>
      </c>
      <c r="E52" s="133">
        <f>(((384*$H$14*100000)/(5*$E28*E10))^(1/3))/100</f>
        <v>5.1884558804271999</v>
      </c>
      <c r="F52" s="6"/>
      <c r="G52" s="7"/>
      <c r="H52" s="7"/>
      <c r="O52" s="54"/>
      <c r="P52" s="60" t="s">
        <v>40</v>
      </c>
      <c r="AJ52" s="54"/>
    </row>
    <row r="53" spans="3:36" ht="18" hidden="1" customHeight="1" x14ac:dyDescent="0.3">
      <c r="C53" s="38"/>
      <c r="D53" s="140" t="s">
        <v>52</v>
      </c>
      <c r="E53" s="40"/>
      <c r="F53" s="6"/>
      <c r="G53" s="7"/>
      <c r="H53" s="7"/>
      <c r="O53" s="54"/>
      <c r="P53" s="161" t="s">
        <v>34</v>
      </c>
      <c r="Q53" s="155">
        <v>45</v>
      </c>
      <c r="R53" s="73">
        <f t="shared" ref="R53:AA57" si="5">(((384*$H$14*100000)/(5*((((VLOOKUP(R$40,$I$7:$J$17,2))*$Q53)*R$39/2)+((($E$9*(1-0.088))+($E$19/$E$6))*((R$39/COS(R$40*PI()/180))/2))+$E$18)*$E$10))^(1/3))/100</f>
        <v>5.8311506938378139</v>
      </c>
      <c r="S53" s="74">
        <f t="shared" si="5"/>
        <v>5.812611900010519</v>
      </c>
      <c r="T53" s="73">
        <f t="shared" si="5"/>
        <v>5.476520558368275</v>
      </c>
      <c r="U53" s="75">
        <f t="shared" si="5"/>
        <v>5.4584947216579733</v>
      </c>
      <c r="V53" s="76">
        <f t="shared" si="5"/>
        <v>5.1949446778133543</v>
      </c>
      <c r="W53" s="74">
        <f t="shared" si="5"/>
        <v>5.1774336232450544</v>
      </c>
      <c r="X53" s="73">
        <f t="shared" si="5"/>
        <v>4.9635888460982036</v>
      </c>
      <c r="Y53" s="75">
        <f t="shared" si="5"/>
        <v>4.9465646319024232</v>
      </c>
      <c r="Z53" s="76">
        <f t="shared" si="5"/>
        <v>4.7686171902318586</v>
      </c>
      <c r="AA53" s="74">
        <f t="shared" si="5"/>
        <v>4.7520440109431474</v>
      </c>
      <c r="AB53" s="73">
        <f t="shared" ref="AB53:AI57" si="6">(((384*$H$14*100000)/(5*((((VLOOKUP(AB$40,$I$7:$J$17,2))*$Q53)*AB$39/2)+((($E$9*(1-0.088))+($E$19/$E$6))*((AB$39/COS(AB$40*PI()/180))/2))+$E$18)*$E$10))^(1/3))/100</f>
        <v>4.6010672449460284</v>
      </c>
      <c r="AC53" s="75">
        <f t="shared" si="6"/>
        <v>4.5849091145298857</v>
      </c>
      <c r="AD53" s="76">
        <f t="shared" si="6"/>
        <v>4.4548306889437113</v>
      </c>
      <c r="AE53" s="74">
        <f t="shared" si="6"/>
        <v>4.4390540957785394</v>
      </c>
      <c r="AF53" s="73">
        <f t="shared" si="6"/>
        <v>4.3255743452979107</v>
      </c>
      <c r="AG53" s="75">
        <f t="shared" si="6"/>
        <v>4.3101490056388707</v>
      </c>
      <c r="AH53" s="76">
        <f t="shared" si="6"/>
        <v>4.2101231046308616</v>
      </c>
      <c r="AI53" s="75">
        <f t="shared" si="6"/>
        <v>4.1950219826264705</v>
      </c>
      <c r="AJ53" s="54"/>
    </row>
    <row r="54" spans="3:36" ht="18" hidden="1" customHeight="1" x14ac:dyDescent="0.3">
      <c r="C54" s="38"/>
      <c r="D54" s="39"/>
      <c r="E54" s="40"/>
      <c r="F54" s="6"/>
      <c r="G54" s="7"/>
      <c r="H54" s="7"/>
      <c r="O54" s="54"/>
      <c r="P54" s="181"/>
      <c r="Q54" s="153">
        <v>55</v>
      </c>
      <c r="R54" s="65">
        <f t="shared" si="5"/>
        <v>5.6216257069266371</v>
      </c>
      <c r="S54" s="66">
        <f t="shared" si="5"/>
        <v>5.6056006807753223</v>
      </c>
      <c r="T54" s="65">
        <f t="shared" si="5"/>
        <v>5.2732535184936342</v>
      </c>
      <c r="U54" s="67">
        <f t="shared" si="5"/>
        <v>5.2577476074597156</v>
      </c>
      <c r="V54" s="68">
        <f t="shared" si="5"/>
        <v>4.9977973023278359</v>
      </c>
      <c r="W54" s="66">
        <f t="shared" si="5"/>
        <v>4.9827858253167996</v>
      </c>
      <c r="X54" s="65">
        <f t="shared" si="5"/>
        <v>4.7721495523487354</v>
      </c>
      <c r="Y54" s="67">
        <f t="shared" si="5"/>
        <v>4.7575925804419992</v>
      </c>
      <c r="Z54" s="68">
        <f t="shared" si="5"/>
        <v>4.5824203061890039</v>
      </c>
      <c r="AA54" s="66">
        <f t="shared" si="5"/>
        <v>4.5682768663610327</v>
      </c>
      <c r="AB54" s="65">
        <f t="shared" si="6"/>
        <v>4.4196654637122332</v>
      </c>
      <c r="AC54" s="67">
        <f t="shared" si="6"/>
        <v>4.4058977920610598</v>
      </c>
      <c r="AD54" s="68">
        <f t="shared" si="6"/>
        <v>4.2778172727183339</v>
      </c>
      <c r="AE54" s="66">
        <f t="shared" si="6"/>
        <v>4.2643918181347624</v>
      </c>
      <c r="AF54" s="65">
        <f t="shared" si="6"/>
        <v>4.1525871598948791</v>
      </c>
      <c r="AG54" s="67">
        <f t="shared" si="6"/>
        <v>4.1394744956594822</v>
      </c>
      <c r="AH54" s="68">
        <f t="shared" si="6"/>
        <v>4.0408421464569511</v>
      </c>
      <c r="AI54" s="67">
        <f t="shared" si="6"/>
        <v>4.0280165428765597</v>
      </c>
      <c r="AJ54" s="54"/>
    </row>
    <row r="55" spans="3:36" ht="18" hidden="1" customHeight="1" x14ac:dyDescent="0.3">
      <c r="C55" s="38"/>
      <c r="D55" s="39"/>
      <c r="E55" s="40"/>
      <c r="F55" s="6"/>
      <c r="G55" s="7"/>
      <c r="H55" s="7"/>
      <c r="O55" s="54"/>
      <c r="P55" s="181"/>
      <c r="Q55" s="153">
        <v>65</v>
      </c>
      <c r="R55" s="65">
        <f t="shared" si="5"/>
        <v>5.4392992574848549</v>
      </c>
      <c r="S55" s="66">
        <f t="shared" si="5"/>
        <v>5.4252466900378042</v>
      </c>
      <c r="T55" s="65">
        <f t="shared" si="5"/>
        <v>5.0971559189528781</v>
      </c>
      <c r="U55" s="67">
        <f t="shared" si="5"/>
        <v>5.0836120921106369</v>
      </c>
      <c r="V55" s="68">
        <f t="shared" si="5"/>
        <v>4.8275334404399857</v>
      </c>
      <c r="W55" s="66">
        <f t="shared" si="5"/>
        <v>4.8144576702170028</v>
      </c>
      <c r="X55" s="65">
        <f t="shared" si="5"/>
        <v>4.6071974193686422</v>
      </c>
      <c r="Y55" s="67">
        <f t="shared" si="5"/>
        <v>4.5945434411799129</v>
      </c>
      <c r="Z55" s="68">
        <f t="shared" si="5"/>
        <v>4.422271147837221</v>
      </c>
      <c r="AA55" s="66">
        <f t="shared" si="5"/>
        <v>4.4099959710191108</v>
      </c>
      <c r="AB55" s="65">
        <f t="shared" si="6"/>
        <v>4.2638615595867364</v>
      </c>
      <c r="AC55" s="67">
        <f t="shared" si="6"/>
        <v>4.251927422656923</v>
      </c>
      <c r="AD55" s="68">
        <f t="shared" si="6"/>
        <v>4.1259576999529859</v>
      </c>
      <c r="AE55" s="66">
        <f t="shared" si="6"/>
        <v>4.1143320075965804</v>
      </c>
      <c r="AF55" s="65">
        <f t="shared" si="6"/>
        <v>4.0043235827381984</v>
      </c>
      <c r="AG55" s="67">
        <f t="shared" si="6"/>
        <v>3.9929782949653752</v>
      </c>
      <c r="AH55" s="68">
        <f t="shared" si="6"/>
        <v>3.8958720439383985</v>
      </c>
      <c r="AI55" s="67">
        <f t="shared" si="6"/>
        <v>3.8847829839678911</v>
      </c>
      <c r="AJ55" s="54"/>
    </row>
    <row r="56" spans="3:36" ht="18" hidden="1" customHeight="1" x14ac:dyDescent="0.3">
      <c r="C56" s="38"/>
      <c r="D56" s="39"/>
      <c r="E56" s="40"/>
      <c r="F56" s="6"/>
      <c r="G56" s="7"/>
      <c r="H56" s="7"/>
      <c r="O56" s="54"/>
      <c r="P56" s="181"/>
      <c r="Q56" s="154">
        <v>90</v>
      </c>
      <c r="R56" s="69">
        <f t="shared" si="5"/>
        <v>5.0691516053390773</v>
      </c>
      <c r="S56" s="70">
        <f t="shared" si="5"/>
        <v>5.0585407063100556</v>
      </c>
      <c r="T56" s="69">
        <f t="shared" si="5"/>
        <v>4.7416791405857746</v>
      </c>
      <c r="U56" s="71">
        <f t="shared" si="5"/>
        <v>4.7315258255304862</v>
      </c>
      <c r="V56" s="72">
        <f t="shared" si="5"/>
        <v>4.4851927752293834</v>
      </c>
      <c r="W56" s="70">
        <f t="shared" si="5"/>
        <v>4.475439377880547</v>
      </c>
      <c r="X56" s="69">
        <f t="shared" si="5"/>
        <v>4.2765050375998443</v>
      </c>
      <c r="Y56" s="71">
        <f t="shared" si="5"/>
        <v>4.2671010308220012</v>
      </c>
      <c r="Z56" s="72">
        <f t="shared" si="5"/>
        <v>4.1019277130911664</v>
      </c>
      <c r="AA56" s="70">
        <f t="shared" si="5"/>
        <v>4.0928309963759553</v>
      </c>
      <c r="AB56" s="69">
        <f t="shared" si="6"/>
        <v>3.9527635935246765</v>
      </c>
      <c r="AC56" s="71">
        <f t="shared" si="6"/>
        <v>3.9439393862789403</v>
      </c>
      <c r="AD56" s="72">
        <f t="shared" si="6"/>
        <v>3.8231728456126781</v>
      </c>
      <c r="AE56" s="70">
        <f t="shared" si="6"/>
        <v>3.8145922950017397</v>
      </c>
      <c r="AF56" s="69">
        <f t="shared" si="6"/>
        <v>3.7090616265291652</v>
      </c>
      <c r="AG56" s="71">
        <f t="shared" si="6"/>
        <v>3.7007005978183343</v>
      </c>
      <c r="AH56" s="72">
        <f t="shared" si="6"/>
        <v>3.6074590906582507</v>
      </c>
      <c r="AI56" s="71">
        <f t="shared" si="6"/>
        <v>3.5992972047615495</v>
      </c>
      <c r="AJ56" s="54"/>
    </row>
    <row r="57" spans="3:36" ht="18" hidden="1" customHeight="1" x14ac:dyDescent="0.25">
      <c r="C57" s="38"/>
      <c r="D57" s="38"/>
      <c r="E57" s="128"/>
      <c r="F57" s="8"/>
      <c r="G57" s="7"/>
      <c r="H57" s="7"/>
      <c r="O57" s="54"/>
      <c r="P57" s="163"/>
      <c r="Q57" s="137">
        <v>140</v>
      </c>
      <c r="R57" s="138">
        <f t="shared" si="5"/>
        <v>4.5518555742357032</v>
      </c>
      <c r="S57" s="138">
        <f t="shared" si="5"/>
        <v>4.5449489410604649</v>
      </c>
      <c r="T57" s="138">
        <f t="shared" si="5"/>
        <v>4.2488076423929124</v>
      </c>
      <c r="U57" s="138">
        <f t="shared" si="5"/>
        <v>4.2422542081708867</v>
      </c>
      <c r="V57" s="138">
        <f t="shared" si="5"/>
        <v>4.0131309597381222</v>
      </c>
      <c r="W57" s="138">
        <f t="shared" si="5"/>
        <v>4.0068720271501981</v>
      </c>
      <c r="X57" s="138">
        <f t="shared" si="5"/>
        <v>3.8223355193638962</v>
      </c>
      <c r="Y57" s="138">
        <f t="shared" si="5"/>
        <v>3.8163262999404326</v>
      </c>
      <c r="Z57" s="138">
        <f t="shared" si="5"/>
        <v>3.6633221537169094</v>
      </c>
      <c r="AA57" s="138">
        <f t="shared" si="5"/>
        <v>3.6575280409202704</v>
      </c>
      <c r="AB57" s="138">
        <f t="shared" si="6"/>
        <v>3.5278494186562477</v>
      </c>
      <c r="AC57" s="138">
        <f t="shared" si="6"/>
        <v>3.5222431660709788</v>
      </c>
      <c r="AD57" s="138">
        <f t="shared" si="6"/>
        <v>3.4104250203195896</v>
      </c>
      <c r="AE57" s="138">
        <f t="shared" si="6"/>
        <v>3.4049847715631576</v>
      </c>
      <c r="AF57" s="138">
        <f t="shared" si="6"/>
        <v>3.3072216095622395</v>
      </c>
      <c r="AG57" s="138">
        <f t="shared" si="6"/>
        <v>3.3019295310755492</v>
      </c>
      <c r="AH57" s="138">
        <f t="shared" si="6"/>
        <v>3.2154751199370901</v>
      </c>
      <c r="AI57" s="138">
        <f t="shared" si="6"/>
        <v>3.21031643941008</v>
      </c>
      <c r="AJ57" s="54"/>
    </row>
    <row r="58" spans="3:36" ht="18" customHeight="1" x14ac:dyDescent="0.3">
      <c r="C58" s="132">
        <v>4</v>
      </c>
      <c r="D58" s="160" t="s">
        <v>54</v>
      </c>
      <c r="E58" s="134">
        <f>1.12*((((384*$H$14*100000)/(5*$E30*E10))^(1/3))/100)</f>
        <v>5.6664727897316274</v>
      </c>
      <c r="O58" s="54"/>
      <c r="P58" s="60" t="s">
        <v>41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4"/>
    </row>
    <row r="59" spans="3:36" ht="18" customHeight="1" x14ac:dyDescent="0.25">
      <c r="O59" s="54"/>
      <c r="P59" s="161" t="s">
        <v>34</v>
      </c>
      <c r="Q59" s="41">
        <v>45</v>
      </c>
      <c r="R59" s="142">
        <f>1.12*((((384*$H$14*100000)/(5*((((VLOOKUP(R$40,$I$7:$J$17,2))*$Q59)*R$39/2)+((($E$9*(1-0.088))+($E$21/$E$6))*((R$39/COS(R$40*PI()/180))/2))+$E$18)*$E$10))^(1/3))/100)</f>
        <v>6.3783728516977236</v>
      </c>
      <c r="S59" s="142">
        <f t="shared" ref="S59:AI63" si="7">1.12*((((384*$H$14*100000)/(5*((((VLOOKUP(S$40,$I$7:$J$17,2))*$Q59)*S$39/2)+((($E$9*(1-0.088))+($E$21/$E$6))*((S$39/COS(S$40*PI()/180))/2))+$E$18)*$E$10))^(1/3))/100)</f>
        <v>6.3549744677582707</v>
      </c>
      <c r="T59" s="142">
        <f t="shared" si="7"/>
        <v>5.9856155521578893</v>
      </c>
      <c r="U59" s="142">
        <f t="shared" si="7"/>
        <v>5.9629384989564045</v>
      </c>
      <c r="V59" s="142">
        <f t="shared" si="7"/>
        <v>5.6746223506029976</v>
      </c>
      <c r="W59" s="142">
        <f t="shared" si="7"/>
        <v>5.6526434188458587</v>
      </c>
      <c r="X59" s="142">
        <f t="shared" si="7"/>
        <v>5.419602429807993</v>
      </c>
      <c r="Y59" s="142">
        <f t="shared" si="7"/>
        <v>5.3982709782115741</v>
      </c>
      <c r="Z59" s="142">
        <f t="shared" si="7"/>
        <v>5.2050106005703665</v>
      </c>
      <c r="AA59" s="142">
        <f t="shared" si="7"/>
        <v>5.1842716480396485</v>
      </c>
      <c r="AB59" s="142">
        <f t="shared" si="7"/>
        <v>5.0208166331508703</v>
      </c>
      <c r="AC59" s="142">
        <f t="shared" si="7"/>
        <v>5.000618246453298</v>
      </c>
      <c r="AD59" s="142">
        <f t="shared" si="7"/>
        <v>4.8602052651965222</v>
      </c>
      <c r="AE59" s="142">
        <f t="shared" si="7"/>
        <v>4.8405006570648235</v>
      </c>
      <c r="AF59" s="142">
        <f t="shared" si="7"/>
        <v>4.718353571953779</v>
      </c>
      <c r="AG59" s="142">
        <f t="shared" si="7"/>
        <v>4.6991013326563795</v>
      </c>
      <c r="AH59" s="142">
        <f t="shared" si="7"/>
        <v>4.5917346089565045</v>
      </c>
      <c r="AI59" s="142">
        <f t="shared" si="7"/>
        <v>4.5728982982785116</v>
      </c>
      <c r="AJ59" s="54"/>
    </row>
    <row r="60" spans="3:36" ht="18" customHeight="1" x14ac:dyDescent="0.25">
      <c r="O60" s="54"/>
      <c r="P60" s="162"/>
      <c r="Q60" s="42">
        <v>55</v>
      </c>
      <c r="R60" s="143">
        <f t="shared" ref="R60:AG63" si="8">1.12*((((384*$H$14*100000)/(5*((((VLOOKUP(R$40,$I$7:$J$17,2))*$Q60)*R$39/2)+((($E$9*(1-0.088))+($E$21/$E$6))*((R$39/COS(R$40*PI()/180))/2))+$E$18)*$E$10))^(1/3))/100)</f>
        <v>6.1638388559475761</v>
      </c>
      <c r="S60" s="143">
        <f t="shared" si="8"/>
        <v>6.1434185819423819</v>
      </c>
      <c r="T60" s="143">
        <f t="shared" si="8"/>
        <v>5.7780955010494672</v>
      </c>
      <c r="U60" s="143">
        <f t="shared" si="8"/>
        <v>5.7583885211023347</v>
      </c>
      <c r="V60" s="143">
        <f t="shared" si="8"/>
        <v>5.4737628596245731</v>
      </c>
      <c r="W60" s="143">
        <f t="shared" si="8"/>
        <v>5.4547193638345393</v>
      </c>
      <c r="X60" s="143">
        <f t="shared" si="8"/>
        <v>5.2248554140750407</v>
      </c>
      <c r="Y60" s="143">
        <f t="shared" si="8"/>
        <v>5.2064136473275671</v>
      </c>
      <c r="Z60" s="143">
        <f t="shared" si="8"/>
        <v>5.0158190540844378</v>
      </c>
      <c r="AA60" s="143">
        <f t="shared" si="8"/>
        <v>4.9979199680604474</v>
      </c>
      <c r="AB60" s="143">
        <f t="shared" si="8"/>
        <v>4.8366694209322256</v>
      </c>
      <c r="AC60" s="143">
        <f t="shared" si="8"/>
        <v>4.8192603889410002</v>
      </c>
      <c r="AD60" s="143">
        <f t="shared" si="8"/>
        <v>4.6806494209421619</v>
      </c>
      <c r="AE60" s="143">
        <f t="shared" si="8"/>
        <v>4.6636846083678485</v>
      </c>
      <c r="AF60" s="143">
        <f t="shared" si="8"/>
        <v>4.5429924716916137</v>
      </c>
      <c r="AG60" s="143">
        <f t="shared" si="8"/>
        <v>4.526432208631622</v>
      </c>
      <c r="AH60" s="143">
        <f t="shared" si="7"/>
        <v>4.4202218677622263</v>
      </c>
      <c r="AI60" s="143">
        <f t="shared" si="7"/>
        <v>4.404031797707022</v>
      </c>
      <c r="AJ60" s="54"/>
    </row>
    <row r="61" spans="3:36" ht="18" customHeight="1" x14ac:dyDescent="0.25">
      <c r="O61" s="54"/>
      <c r="P61" s="162"/>
      <c r="Q61" s="42">
        <v>65</v>
      </c>
      <c r="R61" s="143">
        <f t="shared" si="8"/>
        <v>5.9755346791505133</v>
      </c>
      <c r="S61" s="143">
        <f t="shared" si="7"/>
        <v>5.9574871050855105</v>
      </c>
      <c r="T61" s="143">
        <f t="shared" si="7"/>
        <v>5.5966557319132191</v>
      </c>
      <c r="U61" s="143">
        <f t="shared" si="7"/>
        <v>5.5792990988122693</v>
      </c>
      <c r="V61" s="143">
        <f t="shared" si="7"/>
        <v>5.2986251226426724</v>
      </c>
      <c r="W61" s="143">
        <f t="shared" si="7"/>
        <v>5.2818935837720193</v>
      </c>
      <c r="X61" s="143">
        <f t="shared" si="7"/>
        <v>5.0553897484460633</v>
      </c>
      <c r="Y61" s="143">
        <f t="shared" si="7"/>
        <v>5.039215944258272</v>
      </c>
      <c r="Z61" s="143">
        <f t="shared" si="7"/>
        <v>4.8514431689706701</v>
      </c>
      <c r="AA61" s="143">
        <f t="shared" si="7"/>
        <v>4.8357669437905555</v>
      </c>
      <c r="AB61" s="143">
        <f t="shared" si="7"/>
        <v>4.6768732581450285</v>
      </c>
      <c r="AC61" s="143">
        <f t="shared" si="7"/>
        <v>4.6616428839692476</v>
      </c>
      <c r="AD61" s="143">
        <f t="shared" si="7"/>
        <v>4.5249934532038765</v>
      </c>
      <c r="AE61" s="143">
        <f t="shared" si="7"/>
        <v>4.5101648723842889</v>
      </c>
      <c r="AF61" s="143">
        <f t="shared" si="7"/>
        <v>4.3910990381081936</v>
      </c>
      <c r="AG61" s="143">
        <f t="shared" si="7"/>
        <v>4.376634699692576</v>
      </c>
      <c r="AH61" s="143">
        <f t="shared" si="7"/>
        <v>4.2717656168834388</v>
      </c>
      <c r="AI61" s="143">
        <f t="shared" si="7"/>
        <v>4.2576333636621033</v>
      </c>
      <c r="AJ61" s="54"/>
    </row>
    <row r="62" spans="3:36" ht="18" customHeight="1" x14ac:dyDescent="0.25">
      <c r="O62" s="54"/>
      <c r="P62" s="162"/>
      <c r="Q62" s="42">
        <v>90</v>
      </c>
      <c r="R62" s="143">
        <f t="shared" si="8"/>
        <v>5.5889459144006937</v>
      </c>
      <c r="S62" s="143">
        <f t="shared" si="7"/>
        <v>5.575119559852598</v>
      </c>
      <c r="T62" s="143">
        <f t="shared" si="7"/>
        <v>5.2260454367261984</v>
      </c>
      <c r="U62" s="143">
        <f t="shared" si="7"/>
        <v>5.2128341942384298</v>
      </c>
      <c r="V62" s="143">
        <f t="shared" si="7"/>
        <v>4.9421488915135132</v>
      </c>
      <c r="W62" s="143">
        <f t="shared" si="7"/>
        <v>4.9294705368168845</v>
      </c>
      <c r="X62" s="143">
        <f t="shared" si="7"/>
        <v>4.7113542450383692</v>
      </c>
      <c r="Y62" s="143">
        <f t="shared" si="7"/>
        <v>4.6991389052663175</v>
      </c>
      <c r="Z62" s="143">
        <f t="shared" si="7"/>
        <v>4.5184053052637996</v>
      </c>
      <c r="AA62" s="143">
        <f t="shared" si="7"/>
        <v>4.5065956572211423</v>
      </c>
      <c r="AB62" s="143">
        <f t="shared" si="7"/>
        <v>4.3536246701947219</v>
      </c>
      <c r="AC62" s="143">
        <f t="shared" si="7"/>
        <v>4.3421738054742649</v>
      </c>
      <c r="AD62" s="143">
        <f t="shared" si="7"/>
        <v>4.2105226079837985</v>
      </c>
      <c r="AE62" s="143">
        <f t="shared" si="7"/>
        <v>4.1993918638545074</v>
      </c>
      <c r="AF62" s="143">
        <f t="shared" si="7"/>
        <v>4.0845542681520355</v>
      </c>
      <c r="AG62" s="143">
        <f t="shared" si="7"/>
        <v>4.0737114560021528</v>
      </c>
      <c r="AH62" s="143">
        <f t="shared" si="7"/>
        <v>3.9724242158037377</v>
      </c>
      <c r="AI62" s="143">
        <f t="shared" si="7"/>
        <v>3.9618422533091451</v>
      </c>
      <c r="AJ62" s="54"/>
    </row>
    <row r="63" spans="3:36" ht="18" customHeight="1" x14ac:dyDescent="0.3">
      <c r="C63" s="38"/>
      <c r="D63" s="38"/>
      <c r="E63" s="129"/>
      <c r="O63" s="54"/>
      <c r="P63" s="163"/>
      <c r="Q63" s="144">
        <v>140</v>
      </c>
      <c r="R63" s="145">
        <f t="shared" si="8"/>
        <v>5.0400426948975188</v>
      </c>
      <c r="S63" s="145">
        <f t="shared" si="7"/>
        <v>5.0308868706360919</v>
      </c>
      <c r="T63" s="145">
        <f t="shared" si="7"/>
        <v>4.7036147613776826</v>
      </c>
      <c r="U63" s="145">
        <f t="shared" si="7"/>
        <v>4.6949337099211084</v>
      </c>
      <c r="V63" s="145">
        <f t="shared" si="7"/>
        <v>4.442142417220154</v>
      </c>
      <c r="W63" s="145">
        <f t="shared" si="7"/>
        <v>4.4338557628409161</v>
      </c>
      <c r="X63" s="145">
        <f t="shared" si="7"/>
        <v>4.2305568479322346</v>
      </c>
      <c r="Y63" s="145">
        <f t="shared" si="7"/>
        <v>4.2226037987587368</v>
      </c>
      <c r="Z63" s="145">
        <f t="shared" si="7"/>
        <v>4.0542740961697312</v>
      </c>
      <c r="AA63" s="145">
        <f t="shared" si="7"/>
        <v>4.0466079280471119</v>
      </c>
      <c r="AB63" s="145">
        <f t="shared" si="7"/>
        <v>3.9041264373269065</v>
      </c>
      <c r="AC63" s="145">
        <f t="shared" si="7"/>
        <v>3.8967104937299819</v>
      </c>
      <c r="AD63" s="145">
        <f t="shared" si="7"/>
        <v>3.774008288512618</v>
      </c>
      <c r="AE63" s="145">
        <f t="shared" si="7"/>
        <v>3.7668132396085605</v>
      </c>
      <c r="AF63" s="145">
        <f t="shared" si="7"/>
        <v>3.6596671266923257</v>
      </c>
      <c r="AG63" s="145">
        <f t="shared" si="7"/>
        <v>3.6526690872695329</v>
      </c>
      <c r="AH63" s="145">
        <f t="shared" si="7"/>
        <v>3.5580331168129056</v>
      </c>
      <c r="AI63" s="145">
        <f t="shared" si="7"/>
        <v>3.5512123317075508</v>
      </c>
      <c r="AJ63" s="54"/>
    </row>
    <row r="64" spans="3:36" ht="18" hidden="1" customHeight="1" x14ac:dyDescent="0.3">
      <c r="C64" s="130">
        <v>5</v>
      </c>
      <c r="D64" s="141" t="s">
        <v>31</v>
      </c>
      <c r="E64" s="135">
        <f>(((384*$H$15*100000)/(5*$E32*E10))^(1/3))/100</f>
        <v>5.7811327367190097</v>
      </c>
      <c r="O64" s="54"/>
      <c r="P64" s="60" t="s">
        <v>43</v>
      </c>
      <c r="AJ64" s="54"/>
    </row>
    <row r="65" spans="3:35" ht="18" hidden="1" customHeight="1" x14ac:dyDescent="0.25">
      <c r="D65" s="140" t="s">
        <v>52</v>
      </c>
      <c r="P65" s="161" t="s">
        <v>34</v>
      </c>
      <c r="Q65" s="155">
        <v>45</v>
      </c>
      <c r="R65" s="100">
        <f t="shared" ref="R65:AI65" si="9">(((384*$H$15*100000)/(5*((((VLOOKUP(R$40,$I$7:$J$17,2))*$Q53)*R$39/2)+((($E$9*(1-0.088))+($E$19/$E$6))*((R$39/COS(R$40*PI()/180))/2))+($E$16+(2*$E$17)))*$E$10))^(1/3))/100</f>
        <v>6.432613610805971</v>
      </c>
      <c r="S65" s="106">
        <f t="shared" si="9"/>
        <v>6.4141953823765379</v>
      </c>
      <c r="T65" s="100">
        <f t="shared" si="9"/>
        <v>6.0763466445928653</v>
      </c>
      <c r="U65" s="101">
        <f t="shared" si="9"/>
        <v>6.0580215951625966</v>
      </c>
      <c r="V65" s="109">
        <f t="shared" si="9"/>
        <v>5.7878368688724287</v>
      </c>
      <c r="W65" s="106">
        <f t="shared" si="9"/>
        <v>5.7697391223097165</v>
      </c>
      <c r="X65" s="100">
        <f t="shared" si="9"/>
        <v>5.547331152119285</v>
      </c>
      <c r="Y65" s="101">
        <f t="shared" si="9"/>
        <v>5.5295168484314603</v>
      </c>
      <c r="Z65" s="109">
        <f t="shared" si="9"/>
        <v>5.3423941800986938</v>
      </c>
      <c r="AA65" s="106">
        <f t="shared" si="9"/>
        <v>5.3248832098118672</v>
      </c>
      <c r="AB65" s="100">
        <f t="shared" si="9"/>
        <v>5.1647349600810664</v>
      </c>
      <c r="AC65" s="101">
        <f t="shared" si="9"/>
        <v>5.1475295736535154</v>
      </c>
      <c r="AD65" s="109">
        <f t="shared" si="9"/>
        <v>5.0085737537812181</v>
      </c>
      <c r="AE65" s="106">
        <f t="shared" si="9"/>
        <v>4.9916674938493495</v>
      </c>
      <c r="AF65" s="100">
        <f t="shared" si="9"/>
        <v>4.8697352773056686</v>
      </c>
      <c r="AG65" s="101">
        <f t="shared" si="9"/>
        <v>4.8531174950020306</v>
      </c>
      <c r="AH65" s="109">
        <f t="shared" si="9"/>
        <v>4.7451140258034563</v>
      </c>
      <c r="AI65" s="101">
        <f t="shared" si="9"/>
        <v>4.7287722451303491</v>
      </c>
    </row>
    <row r="66" spans="3:35" ht="18" hidden="1" customHeight="1" x14ac:dyDescent="0.25">
      <c r="P66" s="162"/>
      <c r="Q66" s="153">
        <v>55</v>
      </c>
      <c r="R66" s="102">
        <f t="shared" ref="R66:AI66" si="10">(((384*$H$15*100000)/(5*((((VLOOKUP(R$40,$I$7:$J$17,2))*$Q54)*R$39/2)+((($E$9*(1-0.088))+($E$19/$E$6))*((R$39/COS(R$40*PI()/180))/2))+($E$16+(2*$E$17)))*$E$10))^(1/3))/100</f>
        <v>6.2231122896046385</v>
      </c>
      <c r="S66" s="107">
        <f t="shared" si="10"/>
        <v>6.2069700665107428</v>
      </c>
      <c r="T66" s="102">
        <f t="shared" si="10"/>
        <v>5.8685508122991745</v>
      </c>
      <c r="U66" s="103">
        <f t="shared" si="10"/>
        <v>5.8525972489465694</v>
      </c>
      <c r="V66" s="110">
        <f t="shared" si="10"/>
        <v>5.5830797729269888</v>
      </c>
      <c r="W66" s="107">
        <f t="shared" si="10"/>
        <v>5.5674002654311163</v>
      </c>
      <c r="X66" s="102">
        <f t="shared" si="10"/>
        <v>5.3461246214441829</v>
      </c>
      <c r="Y66" s="103">
        <f t="shared" si="10"/>
        <v>5.330747291296408</v>
      </c>
      <c r="Z66" s="110">
        <f t="shared" si="10"/>
        <v>5.1448783518572929</v>
      </c>
      <c r="AA66" s="107">
        <f t="shared" si="10"/>
        <v>5.1298063597195309</v>
      </c>
      <c r="AB66" s="102">
        <f t="shared" si="10"/>
        <v>4.9708751834763696</v>
      </c>
      <c r="AC66" s="103">
        <f t="shared" si="10"/>
        <v>4.9561005432790708</v>
      </c>
      <c r="AD66" s="110">
        <f t="shared" si="10"/>
        <v>4.8182533120941624</v>
      </c>
      <c r="AE66" s="107">
        <f t="shared" si="10"/>
        <v>4.8037632287158392</v>
      </c>
      <c r="AF66" s="102">
        <f t="shared" si="10"/>
        <v>4.6828012633016423</v>
      </c>
      <c r="AG66" s="103">
        <f t="shared" si="10"/>
        <v>4.6685811720959416</v>
      </c>
      <c r="AH66" s="110">
        <f t="shared" si="10"/>
        <v>4.5614007274809412</v>
      </c>
      <c r="AI66" s="103">
        <f t="shared" si="10"/>
        <v>4.5474357820479359</v>
      </c>
    </row>
    <row r="67" spans="3:35" ht="18" hidden="1" customHeight="1" x14ac:dyDescent="0.25">
      <c r="P67" s="162"/>
      <c r="Q67" s="153">
        <v>65</v>
      </c>
      <c r="R67" s="102">
        <f t="shared" ref="R67:AI67" si="11">(((384*$H$15*100000)/(5*((((VLOOKUP(R$40,$I$7:$J$17,2))*$Q55)*R$39/2)+((($E$9*(1-0.088))+($E$19/$E$6))*((R$39/COS(R$40*PI()/180))/2))+($E$16+(2*$E$17)))*$E$10))^(1/3))/100</f>
        <v>6.0384852710725223</v>
      </c>
      <c r="S67" s="107">
        <f t="shared" si="11"/>
        <v>6.0241686938044587</v>
      </c>
      <c r="T67" s="102">
        <f t="shared" si="11"/>
        <v>5.6865469545147675</v>
      </c>
      <c r="U67" s="103">
        <f t="shared" si="11"/>
        <v>5.6724754227920808</v>
      </c>
      <c r="V67" s="110">
        <f t="shared" si="11"/>
        <v>5.4045308404751378</v>
      </c>
      <c r="W67" s="107">
        <f t="shared" si="11"/>
        <v>5.39075572129512</v>
      </c>
      <c r="X67" s="102">
        <f t="shared" si="11"/>
        <v>5.1712591820315437</v>
      </c>
      <c r="Y67" s="103">
        <f t="shared" si="11"/>
        <v>5.1577898300526215</v>
      </c>
      <c r="Z67" s="110">
        <f t="shared" si="11"/>
        <v>4.9736704933806104</v>
      </c>
      <c r="AA67" s="107">
        <f t="shared" si="11"/>
        <v>4.9604993482237507</v>
      </c>
      <c r="AB67" s="102">
        <f t="shared" si="11"/>
        <v>4.8031907647848575</v>
      </c>
      <c r="AC67" s="103">
        <f t="shared" si="11"/>
        <v>4.7903036122361389</v>
      </c>
      <c r="AD67" s="110">
        <f t="shared" si="11"/>
        <v>4.6539156096740024</v>
      </c>
      <c r="AE67" s="107">
        <f t="shared" si="11"/>
        <v>4.6412960489922872</v>
      </c>
      <c r="AF67" s="102">
        <f t="shared" si="11"/>
        <v>4.5216215972875302</v>
      </c>
      <c r="AG67" s="103">
        <f t="shared" si="11"/>
        <v>4.5092530414101075</v>
      </c>
      <c r="AH67" s="110">
        <f t="shared" si="11"/>
        <v>4.4031928821546478</v>
      </c>
      <c r="AI67" s="103">
        <f t="shared" si="11"/>
        <v>4.391059442064261</v>
      </c>
    </row>
    <row r="68" spans="3:35" ht="18" hidden="1" customHeight="1" x14ac:dyDescent="0.25">
      <c r="P68" s="162"/>
      <c r="Q68" s="154">
        <v>90</v>
      </c>
      <c r="R68" s="104">
        <f t="shared" ref="R68:AI68" si="12">(((384*$H$15*100000)/(5*((((VLOOKUP(R$40,$I$7:$J$17,2))*$Q56)*R$39/2)+((($E$9*(1-0.088))+($E$19/$E$6))*((R$39/COS(R$40*PI()/180))/2))+($E$16+(2*$E$17)))*$E$10))^(1/3))/100</f>
        <v>5.6574401653204847</v>
      </c>
      <c r="S68" s="108">
        <f t="shared" si="12"/>
        <v>5.6464000801010998</v>
      </c>
      <c r="T68" s="104">
        <f t="shared" si="12"/>
        <v>5.3139247963247476</v>
      </c>
      <c r="U68" s="105">
        <f t="shared" si="12"/>
        <v>5.3031848156919441</v>
      </c>
      <c r="V68" s="111">
        <f t="shared" si="12"/>
        <v>5.0410780353283844</v>
      </c>
      <c r="W68" s="108">
        <f t="shared" si="12"/>
        <v>5.0306410784684905</v>
      </c>
      <c r="X68" s="104">
        <f t="shared" si="12"/>
        <v>4.8168373539059264</v>
      </c>
      <c r="Y68" s="105">
        <f t="shared" si="12"/>
        <v>4.8066878933335921</v>
      </c>
      <c r="Z68" s="111">
        <f t="shared" si="12"/>
        <v>4.6278254175567994</v>
      </c>
      <c r="AA68" s="108">
        <f t="shared" si="12"/>
        <v>4.6179428425426785</v>
      </c>
      <c r="AB68" s="104">
        <f t="shared" si="12"/>
        <v>4.4653724141115676</v>
      </c>
      <c r="AC68" s="105">
        <f t="shared" si="12"/>
        <v>4.455735770118217</v>
      </c>
      <c r="AD68" s="111">
        <f t="shared" si="12"/>
        <v>4.3235671629799279</v>
      </c>
      <c r="AE68" s="108">
        <f t="shared" si="12"/>
        <v>4.3141568224008831</v>
      </c>
      <c r="AF68" s="104">
        <f t="shared" si="12"/>
        <v>4.198215022751917</v>
      </c>
      <c r="AG68" s="105">
        <f t="shared" si="12"/>
        <v>4.1890131853876165</v>
      </c>
      <c r="AH68" s="111">
        <f t="shared" si="12"/>
        <v>4.0862416068783531</v>
      </c>
      <c r="AI68" s="105">
        <f t="shared" si="12"/>
        <v>4.0772323431801816</v>
      </c>
    </row>
    <row r="69" spans="3:35" ht="18" hidden="1" customHeight="1" x14ac:dyDescent="0.3">
      <c r="C69" s="38"/>
      <c r="D69" s="38"/>
      <c r="E69" s="129"/>
      <c r="P69" s="163"/>
      <c r="Q69" s="137">
        <v>140</v>
      </c>
      <c r="R69" s="104">
        <f t="shared" ref="R69:AI69" si="13">(((384*$H$15*100000)/(5*((((VLOOKUP(R$40,$I$7:$J$17,2))*$Q57)*R$39/2)+((($E$9*(1-0.088))+($E$19/$E$6))*((R$39/COS(R$40*PI()/180))/2))+($E$16+(2*$E$17)))*$E$10))^(1/3))/100</f>
        <v>5.1122950960229101</v>
      </c>
      <c r="S69" s="104">
        <f t="shared" si="13"/>
        <v>5.1049262375532916</v>
      </c>
      <c r="T69" s="104">
        <f t="shared" si="13"/>
        <v>4.7869337117141297</v>
      </c>
      <c r="U69" s="104">
        <f t="shared" si="13"/>
        <v>4.7798535455881277</v>
      </c>
      <c r="V69" s="104">
        <f t="shared" si="13"/>
        <v>4.531219986352748</v>
      </c>
      <c r="W69" s="104">
        <f t="shared" si="13"/>
        <v>4.5243992257190122</v>
      </c>
      <c r="X69" s="104">
        <f t="shared" si="13"/>
        <v>4.3226489750643138</v>
      </c>
      <c r="Y69" s="104">
        <f t="shared" si="13"/>
        <v>4.3160587220932731</v>
      </c>
      <c r="Z69" s="104">
        <f t="shared" si="13"/>
        <v>4.147847913930323</v>
      </c>
      <c r="AA69" s="104">
        <f t="shared" si="13"/>
        <v>4.1414627424894119</v>
      </c>
      <c r="AB69" s="104">
        <f t="shared" si="13"/>
        <v>3.9982788784131027</v>
      </c>
      <c r="AC69" s="104">
        <f t="shared" si="13"/>
        <v>3.9920771046231236</v>
      </c>
      <c r="AD69" s="104">
        <f t="shared" si="13"/>
        <v>3.8681876635437091</v>
      </c>
      <c r="AE69" s="104">
        <f t="shared" si="13"/>
        <v>3.8621509168636918</v>
      </c>
      <c r="AF69" s="104">
        <f t="shared" si="13"/>
        <v>3.7535285520783548</v>
      </c>
      <c r="AG69" s="104">
        <f t="shared" si="13"/>
        <v>3.7476412333703735</v>
      </c>
      <c r="AH69" s="104">
        <f t="shared" si="13"/>
        <v>3.6513585778931033</v>
      </c>
      <c r="AI69" s="104">
        <f t="shared" si="13"/>
        <v>3.6456073656524541</v>
      </c>
    </row>
    <row r="70" spans="3:35" ht="18" customHeight="1" x14ac:dyDescent="0.3">
      <c r="C70" s="132">
        <v>6</v>
      </c>
      <c r="D70" s="160" t="s">
        <v>55</v>
      </c>
      <c r="E70" s="135">
        <f>1.12*((((384*$H$15*100000)/(5*$E34*E10))^(1/3))/100)</f>
        <v>6.3249122301003782</v>
      </c>
      <c r="P70" s="99" t="s">
        <v>42</v>
      </c>
    </row>
    <row r="71" spans="3:35" ht="18" customHeight="1" x14ac:dyDescent="0.25">
      <c r="P71" s="161" t="s">
        <v>34</v>
      </c>
      <c r="Q71" s="41">
        <v>45</v>
      </c>
      <c r="R71" s="142">
        <f>1.12*((((384*$H$15*100000)/(5*((((VLOOKUP(R$40,$I$7:$J$17,2))*$Q59)*R$39/2)+((($E$9*(1-0.088))+($E$21/$E$6))*((R$39/COS(R$40*PI()/180))/2))+($E$16+(2*$E$17)))*$E$10))^(1/3))/100)</f>
        <v>7.0523994803389671</v>
      </c>
      <c r="S71" s="142">
        <f t="shared" ref="S71:AI75" si="14">1.12*((((384*$H$15*100000)/(5*((((VLOOKUP(S$40,$I$7:$J$17,2))*$Q59)*S$39/2)+((($E$9*(1-0.088))+($E$21/$E$6))*((S$39/COS(S$40*PI()/180))/2))+($E$16+(2*$E$17)))*$E$10))^(1/3))/100)</f>
        <v>7.0289382900641613</v>
      </c>
      <c r="T71" s="142">
        <f t="shared" si="14"/>
        <v>6.6544407727747981</v>
      </c>
      <c r="U71" s="142">
        <f t="shared" si="14"/>
        <v>6.6312019429429618</v>
      </c>
      <c r="V71" s="142">
        <f t="shared" si="14"/>
        <v>6.3333918113911816</v>
      </c>
      <c r="W71" s="142">
        <f t="shared" si="14"/>
        <v>6.3105152839822827</v>
      </c>
      <c r="X71" s="142">
        <f t="shared" si="14"/>
        <v>6.0665141644552749</v>
      </c>
      <c r="Y71" s="142">
        <f t="shared" si="14"/>
        <v>6.0440510939035317</v>
      </c>
      <c r="Z71" s="142">
        <f t="shared" si="14"/>
        <v>5.8395990329793666</v>
      </c>
      <c r="AA71" s="142">
        <f t="shared" si="14"/>
        <v>5.8175609283021954</v>
      </c>
      <c r="AB71" s="142">
        <f t="shared" si="14"/>
        <v>5.6432263990083023</v>
      </c>
      <c r="AC71" s="142">
        <f t="shared" si="14"/>
        <v>5.6216064537503767</v>
      </c>
      <c r="AD71" s="142">
        <f t="shared" si="14"/>
        <v>5.4708586633846101</v>
      </c>
      <c r="AE71" s="142">
        <f t="shared" si="14"/>
        <v>5.4496417065949583</v>
      </c>
      <c r="AF71" s="142">
        <f t="shared" si="14"/>
        <v>5.3177900585152456</v>
      </c>
      <c r="AG71" s="142">
        <f t="shared" si="14"/>
        <v>5.2969574246066076</v>
      </c>
      <c r="AH71" s="142">
        <f t="shared" si="14"/>
        <v>5.1805309241587612</v>
      </c>
      <c r="AI71" s="142">
        <f t="shared" si="14"/>
        <v>5.1600629011243528</v>
      </c>
    </row>
    <row r="72" spans="3:35" ht="18" customHeight="1" x14ac:dyDescent="0.25">
      <c r="P72" s="162"/>
      <c r="Q72" s="42">
        <v>55</v>
      </c>
      <c r="R72" s="143">
        <f t="shared" ref="R72:AG75" si="15">1.12*((((384*$H$15*100000)/(5*((((VLOOKUP(R$40,$I$7:$J$17,2))*$Q60)*R$39/2)+((($E$9*(1-0.088))+($E$21/$E$6))*((R$39/COS(R$40*PI()/180))/2))+($E$16+(2*$E$17)))*$E$10))^(1/3))/100)</f>
        <v>6.836101931960159</v>
      </c>
      <c r="S72" s="143">
        <f t="shared" si="15"/>
        <v>6.8153769640061332</v>
      </c>
      <c r="T72" s="143">
        <f t="shared" si="15"/>
        <v>6.4407651082248858</v>
      </c>
      <c r="U72" s="143">
        <f t="shared" si="15"/>
        <v>6.4203571185260495</v>
      </c>
      <c r="V72" s="143">
        <f t="shared" si="15"/>
        <v>6.1234526769947841</v>
      </c>
      <c r="W72" s="143">
        <f t="shared" si="15"/>
        <v>6.1034480103566242</v>
      </c>
      <c r="X72" s="143">
        <f t="shared" si="15"/>
        <v>5.8606694898270435</v>
      </c>
      <c r="Y72" s="143">
        <f t="shared" si="15"/>
        <v>5.8410892972954116</v>
      </c>
      <c r="Z72" s="143">
        <f t="shared" si="15"/>
        <v>5.6378786425076024</v>
      </c>
      <c r="AA72" s="143">
        <f t="shared" si="15"/>
        <v>5.618717011993323</v>
      </c>
      <c r="AB72" s="143">
        <f t="shared" si="15"/>
        <v>5.44551467966608</v>
      </c>
      <c r="AC72" s="143">
        <f t="shared" si="15"/>
        <v>5.4267544830211705</v>
      </c>
      <c r="AD72" s="143">
        <f t="shared" si="15"/>
        <v>5.2769780806418369</v>
      </c>
      <c r="AE72" s="143">
        <f t="shared" si="15"/>
        <v>5.2585980110647466</v>
      </c>
      <c r="AF72" s="143">
        <f t="shared" si="15"/>
        <v>5.1275410390743641</v>
      </c>
      <c r="AG72" s="143">
        <f t="shared" si="15"/>
        <v>5.1095188484522565</v>
      </c>
      <c r="AH72" s="143">
        <f t="shared" si="14"/>
        <v>4.9937112635727798</v>
      </c>
      <c r="AI72" s="143">
        <f t="shared" si="14"/>
        <v>4.9760252555112192</v>
      </c>
    </row>
    <row r="73" spans="3:35" ht="18" customHeight="1" x14ac:dyDescent="0.25">
      <c r="P73" s="162"/>
      <c r="Q73" s="42">
        <v>65</v>
      </c>
      <c r="R73" s="143">
        <f t="shared" si="15"/>
        <v>6.6441135811635839</v>
      </c>
      <c r="S73" s="143">
        <f t="shared" si="14"/>
        <v>6.6256113855557892</v>
      </c>
      <c r="T73" s="143">
        <f t="shared" si="14"/>
        <v>6.2521334006654747</v>
      </c>
      <c r="U73" s="143">
        <f t="shared" si="14"/>
        <v>6.2340034044724799</v>
      </c>
      <c r="V73" s="143">
        <f t="shared" si="14"/>
        <v>5.9388434964829546</v>
      </c>
      <c r="W73" s="143">
        <f t="shared" si="14"/>
        <v>5.9211341753641769</v>
      </c>
      <c r="X73" s="143">
        <f t="shared" si="14"/>
        <v>5.6801939271178501</v>
      </c>
      <c r="Y73" s="143">
        <f t="shared" si="14"/>
        <v>5.6629061111328802</v>
      </c>
      <c r="Z73" s="143">
        <f t="shared" si="14"/>
        <v>5.4614259202282529</v>
      </c>
      <c r="AA73" s="143">
        <f t="shared" si="14"/>
        <v>5.4445424445476034</v>
      </c>
      <c r="AB73" s="143">
        <f t="shared" si="14"/>
        <v>5.2728878018146839</v>
      </c>
      <c r="AC73" s="143">
        <f t="shared" si="14"/>
        <v>5.256385257325654</v>
      </c>
      <c r="AD73" s="143">
        <f t="shared" si="14"/>
        <v>5.1079526357395437</v>
      </c>
      <c r="AE73" s="143">
        <f t="shared" si="14"/>
        <v>5.0918062841594329</v>
      </c>
      <c r="AF73" s="143">
        <f t="shared" si="14"/>
        <v>4.9618913699537259</v>
      </c>
      <c r="AG73" s="143">
        <f t="shared" si="14"/>
        <v>4.9460772187757787</v>
      </c>
      <c r="AH73" s="143">
        <f t="shared" si="14"/>
        <v>4.8312219241298866</v>
      </c>
      <c r="AI73" s="143">
        <f t="shared" si="14"/>
        <v>4.8157175540183879</v>
      </c>
    </row>
    <row r="74" spans="3:35" ht="18" customHeight="1" x14ac:dyDescent="0.25">
      <c r="P74" s="162"/>
      <c r="Q74" s="42">
        <v>90</v>
      </c>
      <c r="R74" s="143">
        <f t="shared" si="15"/>
        <v>6.2440818641287805</v>
      </c>
      <c r="S74" s="143">
        <f t="shared" si="14"/>
        <v>6.229635450518332</v>
      </c>
      <c r="T74" s="143">
        <f t="shared" si="14"/>
        <v>5.8619324637386123</v>
      </c>
      <c r="U74" s="143">
        <f t="shared" si="14"/>
        <v>5.8479078720382125</v>
      </c>
      <c r="V74" s="143">
        <f t="shared" si="14"/>
        <v>5.558928880085289</v>
      </c>
      <c r="W74" s="143">
        <f t="shared" si="14"/>
        <v>5.545319942568999</v>
      </c>
      <c r="X74" s="143">
        <f t="shared" si="14"/>
        <v>5.3102177405841564</v>
      </c>
      <c r="Y74" s="143">
        <f t="shared" si="14"/>
        <v>5.2969980947553852</v>
      </c>
      <c r="Z74" s="143">
        <f t="shared" si="14"/>
        <v>5.1007799472640327</v>
      </c>
      <c r="AA74" s="143">
        <f t="shared" si="14"/>
        <v>5.0879187628755433</v>
      </c>
      <c r="AB74" s="143">
        <f t="shared" si="14"/>
        <v>4.9209059699097697</v>
      </c>
      <c r="AC74" s="143">
        <f t="shared" si="14"/>
        <v>4.9083732524196204</v>
      </c>
      <c r="AD74" s="143">
        <f t="shared" si="14"/>
        <v>4.7639885637980379</v>
      </c>
      <c r="AE74" s="143">
        <f t="shared" si="14"/>
        <v>4.7517568511410309</v>
      </c>
      <c r="AF74" s="143">
        <f t="shared" si="14"/>
        <v>4.6253464156513084</v>
      </c>
      <c r="AG74" s="143">
        <f t="shared" si="14"/>
        <v>4.6133911511488161</v>
      </c>
      <c r="AH74" s="143">
        <f t="shared" si="14"/>
        <v>4.5015527909168371</v>
      </c>
      <c r="AI74" s="143">
        <f t="shared" si="14"/>
        <v>4.4898522095907767</v>
      </c>
    </row>
    <row r="75" spans="3:35" ht="18" customHeight="1" x14ac:dyDescent="0.25">
      <c r="P75" s="163"/>
      <c r="Q75" s="144">
        <v>140</v>
      </c>
      <c r="R75" s="145">
        <f t="shared" si="15"/>
        <v>5.6637900682021991</v>
      </c>
      <c r="S75" s="145">
        <f t="shared" si="14"/>
        <v>5.6539991433508199</v>
      </c>
      <c r="T75" s="145">
        <f t="shared" si="14"/>
        <v>5.3018425767691788</v>
      </c>
      <c r="U75" s="145">
        <f t="shared" si="14"/>
        <v>5.2924458965593857</v>
      </c>
      <c r="V75" s="145">
        <f t="shared" si="14"/>
        <v>5.0176434853119307</v>
      </c>
      <c r="W75" s="145">
        <f t="shared" si="14"/>
        <v>5.0085982231716626</v>
      </c>
      <c r="X75" s="145">
        <f t="shared" si="14"/>
        <v>4.7859950077073394</v>
      </c>
      <c r="Y75" s="145">
        <f t="shared" si="14"/>
        <v>4.7772605031709618</v>
      </c>
      <c r="Z75" s="145">
        <f t="shared" si="14"/>
        <v>4.5919512008802306</v>
      </c>
      <c r="AA75" s="145">
        <f t="shared" si="14"/>
        <v>4.583492271150722</v>
      </c>
      <c r="AB75" s="145">
        <f t="shared" si="14"/>
        <v>4.4259823981131472</v>
      </c>
      <c r="AC75" s="145">
        <f t="shared" si="14"/>
        <v>4.4177693222878887</v>
      </c>
      <c r="AD75" s="145">
        <f t="shared" si="14"/>
        <v>4.2816725599551306</v>
      </c>
      <c r="AE75" s="145">
        <f t="shared" si="14"/>
        <v>4.2736803138265964</v>
      </c>
      <c r="AF75" s="145">
        <f t="shared" si="14"/>
        <v>4.1545142992232202</v>
      </c>
      <c r="AG75" s="145">
        <f t="shared" si="14"/>
        <v>4.1467217265204503</v>
      </c>
      <c r="AH75" s="145">
        <f t="shared" si="14"/>
        <v>4.0412309829865487</v>
      </c>
      <c r="AI75" s="145">
        <f t="shared" si="14"/>
        <v>4.0336200754373355</v>
      </c>
    </row>
    <row r="76" spans="3:35" ht="18" customHeight="1" x14ac:dyDescent="0.25"/>
    <row r="77" spans="3:35" ht="18" customHeight="1" x14ac:dyDescent="0.25"/>
    <row r="78" spans="3:35" ht="18" customHeight="1" x14ac:dyDescent="0.25"/>
    <row r="79" spans="3:35" ht="18" customHeight="1" x14ac:dyDescent="0.25"/>
    <row r="80" spans="3:35" ht="18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</sheetData>
  <sheetProtection algorithmName="SHA-512" hashValue="K3hAAUvpoJ86DrLMEPD/Go0fZqDAvoSTRLTz0qsTYpERxEhBtjnYtU4OnVo6Q6V20CK6Ek8e09OZG5L0Mp7VJQ==" saltValue="RhGj1Usqv5lFfZ7k94zzvw==" spinCount="100000" sheet="1" objects="1" scenarios="1"/>
  <mergeCells count="21">
    <mergeCell ref="P65:P69"/>
    <mergeCell ref="P59:P63"/>
    <mergeCell ref="P41:P45"/>
    <mergeCell ref="P47:P51"/>
    <mergeCell ref="P53:P57"/>
    <mergeCell ref="P71:P75"/>
    <mergeCell ref="B1:E1"/>
    <mergeCell ref="B2:E2"/>
    <mergeCell ref="I4:K4"/>
    <mergeCell ref="I5:K5"/>
    <mergeCell ref="P39:Q39"/>
    <mergeCell ref="I25:K25"/>
    <mergeCell ref="I26:K26"/>
    <mergeCell ref="C23:C24"/>
    <mergeCell ref="C31:C32"/>
    <mergeCell ref="C33:C34"/>
    <mergeCell ref="C25:C26"/>
    <mergeCell ref="D38:E38"/>
    <mergeCell ref="C27:C28"/>
    <mergeCell ref="C29:C30"/>
    <mergeCell ref="C37:D37"/>
  </mergeCells>
  <phoneticPr fontId="2" type="noConversion"/>
  <conditionalFormatting sqref="E39:E57">
    <cfRule type="cellIs" dxfId="1" priority="1" stopIfTrue="1" operator="greaterThan">
      <formula>$E$37</formula>
    </cfRule>
  </conditionalFormatting>
  <pageMargins left="0.39370078740157483" right="0" top="0.39370078740157483" bottom="0" header="0" footer="0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J81"/>
  <sheetViews>
    <sheetView zoomScaleNormal="100" workbookViewId="0">
      <selection activeCell="AP71" sqref="AP71"/>
    </sheetView>
  </sheetViews>
  <sheetFormatPr baseColWidth="10" defaultRowHeight="13.2" x14ac:dyDescent="0.25"/>
  <cols>
    <col min="1" max="1" width="1.6640625" customWidth="1"/>
    <col min="2" max="2" width="38.77734375" customWidth="1"/>
    <col min="3" max="3" width="2.21875" hidden="1" customWidth="1"/>
    <col min="4" max="4" width="58.6640625" customWidth="1"/>
    <col min="5" max="5" width="13.6640625" customWidth="1"/>
    <col min="6" max="6" width="1.88671875" customWidth="1"/>
    <col min="7" max="7" width="28.109375" hidden="1" customWidth="1"/>
    <col min="8" max="8" width="7" hidden="1" customWidth="1"/>
    <col min="9" max="9" width="14.88671875" hidden="1" customWidth="1"/>
    <col min="10" max="10" width="12.6640625" hidden="1" customWidth="1"/>
    <col min="11" max="11" width="7.109375" hidden="1" customWidth="1"/>
    <col min="12" max="13" width="8.6640625" hidden="1" customWidth="1"/>
    <col min="14" max="14" width="4.88671875" hidden="1" customWidth="1"/>
    <col min="15" max="17" width="5.88671875" hidden="1" customWidth="1"/>
    <col min="18" max="35" width="6.88671875" hidden="1" customWidth="1"/>
    <col min="36" max="47" width="7.88671875" customWidth="1"/>
  </cols>
  <sheetData>
    <row r="1" spans="2:15" ht="13.05" customHeight="1" x14ac:dyDescent="0.25">
      <c r="B1" s="185" t="s">
        <v>62</v>
      </c>
      <c r="C1" s="165"/>
      <c r="D1" s="165"/>
      <c r="E1" s="165"/>
    </row>
    <row r="2" spans="2:15" ht="20.100000000000001" customHeight="1" x14ac:dyDescent="0.25">
      <c r="B2" s="166" t="s">
        <v>56</v>
      </c>
      <c r="C2" s="167"/>
      <c r="D2" s="167"/>
      <c r="E2" s="167"/>
    </row>
    <row r="3" spans="2:15" ht="5.0999999999999996" customHeight="1" x14ac:dyDescent="0.25"/>
    <row r="4" spans="2:15" ht="18" customHeight="1" thickBot="1" x14ac:dyDescent="0.3">
      <c r="B4" s="12" t="s">
        <v>19</v>
      </c>
      <c r="D4" s="48" t="s">
        <v>4</v>
      </c>
      <c r="E4" s="49">
        <v>3</v>
      </c>
      <c r="G4" s="33" t="s">
        <v>21</v>
      </c>
      <c r="H4" s="34">
        <f>$E$4/COS(E7*PI()/180)</f>
        <v>3.0462798356572351</v>
      </c>
      <c r="I4" s="168" t="s">
        <v>18</v>
      </c>
      <c r="J4" s="168"/>
      <c r="K4" s="168"/>
    </row>
    <row r="5" spans="2:15" ht="18" hidden="1" customHeight="1" thickBot="1" x14ac:dyDescent="0.3">
      <c r="D5" s="48" t="s">
        <v>5</v>
      </c>
      <c r="E5" s="49">
        <v>0</v>
      </c>
      <c r="I5" s="169"/>
      <c r="J5" s="169"/>
      <c r="K5" s="169"/>
    </row>
    <row r="6" spans="2:15" ht="18" customHeight="1" x14ac:dyDescent="0.25">
      <c r="B6" s="12" t="s">
        <v>20</v>
      </c>
      <c r="D6" s="48" t="s">
        <v>6</v>
      </c>
      <c r="E6" s="49">
        <v>1.2</v>
      </c>
      <c r="I6" s="24" t="s">
        <v>0</v>
      </c>
      <c r="J6" s="25" t="s">
        <v>11</v>
      </c>
      <c r="K6" s="23"/>
    </row>
    <row r="7" spans="2:15" ht="18" customHeight="1" x14ac:dyDescent="0.25">
      <c r="B7" s="12" t="s">
        <v>37</v>
      </c>
      <c r="D7" s="48" t="s">
        <v>7</v>
      </c>
      <c r="E7" s="50">
        <v>10</v>
      </c>
      <c r="I7" s="26">
        <v>5</v>
      </c>
      <c r="J7" s="27">
        <v>0.8</v>
      </c>
      <c r="K7" s="23"/>
      <c r="L7" s="156"/>
      <c r="M7" s="157"/>
      <c r="N7" s="157"/>
    </row>
    <row r="8" spans="2:15" ht="18" customHeight="1" x14ac:dyDescent="0.25">
      <c r="B8" s="12" t="s">
        <v>10</v>
      </c>
      <c r="D8" s="48" t="s">
        <v>8</v>
      </c>
      <c r="E8" s="50">
        <v>45</v>
      </c>
      <c r="I8" s="28">
        <v>10</v>
      </c>
      <c r="J8" s="29">
        <v>0.8</v>
      </c>
      <c r="K8" s="23"/>
      <c r="L8" s="156"/>
      <c r="M8" s="157"/>
      <c r="N8" s="157"/>
      <c r="O8" s="11"/>
    </row>
    <row r="9" spans="2:15" ht="18" customHeight="1" x14ac:dyDescent="0.25">
      <c r="B9" s="159" t="s">
        <v>51</v>
      </c>
      <c r="D9" s="48" t="s">
        <v>9</v>
      </c>
      <c r="E9" s="50">
        <v>5</v>
      </c>
      <c r="I9" s="28">
        <v>15</v>
      </c>
      <c r="J9" s="29">
        <v>0.8</v>
      </c>
      <c r="K9" s="23"/>
      <c r="L9" s="36"/>
      <c r="M9" s="37"/>
      <c r="N9" s="37"/>
      <c r="O9" s="11"/>
    </row>
    <row r="10" spans="2:15" ht="18" hidden="1" customHeight="1" x14ac:dyDescent="0.25">
      <c r="D10" s="51" t="s">
        <v>17</v>
      </c>
      <c r="E10" s="52">
        <v>200</v>
      </c>
      <c r="I10" s="28">
        <v>20</v>
      </c>
      <c r="J10" s="29">
        <v>0.8</v>
      </c>
      <c r="K10" s="23"/>
      <c r="L10" s="36"/>
      <c r="M10" s="37"/>
      <c r="N10" s="37"/>
      <c r="O10" s="11"/>
    </row>
    <row r="11" spans="2:15" ht="18" hidden="1" customHeight="1" x14ac:dyDescent="0.25">
      <c r="D11" s="46"/>
      <c r="E11" s="47"/>
      <c r="I11" s="30">
        <v>25</v>
      </c>
      <c r="J11" s="29">
        <v>0.8</v>
      </c>
      <c r="K11" s="23"/>
      <c r="L11" s="36"/>
      <c r="M11" s="37"/>
      <c r="N11" s="37"/>
      <c r="O11" s="11"/>
    </row>
    <row r="12" spans="2:15" ht="18" hidden="1" customHeight="1" x14ac:dyDescent="0.25">
      <c r="D12" s="53"/>
      <c r="E12" s="47"/>
      <c r="I12" s="30">
        <v>30</v>
      </c>
      <c r="J12" s="29">
        <f t="shared" ref="J12:J17" si="0">0.8*(60-$I12)/30</f>
        <v>0.8</v>
      </c>
      <c r="K12" s="23"/>
      <c r="L12" s="36"/>
      <c r="M12" s="37"/>
      <c r="N12" s="37"/>
      <c r="O12" s="11"/>
    </row>
    <row r="13" spans="2:15" ht="18" hidden="1" customHeight="1" x14ac:dyDescent="0.25">
      <c r="D13" s="9" t="s">
        <v>23</v>
      </c>
      <c r="E13" s="13">
        <v>258.57</v>
      </c>
      <c r="G13" s="33" t="s">
        <v>22</v>
      </c>
      <c r="H13" s="35">
        <f>70000000000*(E13/100000000)</f>
        <v>180999</v>
      </c>
      <c r="I13" s="30">
        <v>31</v>
      </c>
      <c r="J13" s="29">
        <f t="shared" si="0"/>
        <v>0.77333333333333343</v>
      </c>
      <c r="K13" s="23"/>
    </row>
    <row r="14" spans="2:15" ht="18" hidden="1" customHeight="1" x14ac:dyDescent="0.25">
      <c r="D14" s="9" t="s">
        <v>24</v>
      </c>
      <c r="E14" s="13">
        <v>83.33</v>
      </c>
      <c r="G14" s="98" t="s">
        <v>38</v>
      </c>
      <c r="H14" s="35">
        <f>(210000000000*(E14/100000000))+H13</f>
        <v>355992</v>
      </c>
      <c r="I14" s="30">
        <v>32</v>
      </c>
      <c r="J14" s="29">
        <f t="shared" si="0"/>
        <v>0.7466666666666667</v>
      </c>
      <c r="K14" s="23"/>
    </row>
    <row r="15" spans="2:15" ht="18" hidden="1" customHeight="1" x14ac:dyDescent="0.25">
      <c r="D15" s="9" t="s">
        <v>32</v>
      </c>
      <c r="E15" s="14">
        <f>ROUND(E5/E6,0)</f>
        <v>0</v>
      </c>
      <c r="G15" s="98" t="s">
        <v>44</v>
      </c>
      <c r="H15">
        <f>(210000000000*((E14*2)/100000000))+H13</f>
        <v>530985</v>
      </c>
      <c r="I15" s="30">
        <v>33</v>
      </c>
      <c r="J15" s="29">
        <f t="shared" si="0"/>
        <v>0.72000000000000008</v>
      </c>
      <c r="K15" s="23"/>
    </row>
    <row r="16" spans="2:15" ht="18" hidden="1" customHeight="1" x14ac:dyDescent="0.25">
      <c r="D16" s="9" t="s">
        <v>25</v>
      </c>
      <c r="E16" s="15">
        <v>4.1689999999999996</v>
      </c>
      <c r="I16" s="30">
        <v>34</v>
      </c>
      <c r="J16" s="29">
        <f t="shared" si="0"/>
        <v>0.69333333333333336</v>
      </c>
      <c r="K16" s="23"/>
    </row>
    <row r="17" spans="3:11" ht="18" hidden="1" customHeight="1" thickBot="1" x14ac:dyDescent="0.3">
      <c r="D17" s="9" t="s">
        <v>26</v>
      </c>
      <c r="E17" s="15">
        <v>7.6580000000000004</v>
      </c>
      <c r="I17" s="31">
        <v>35</v>
      </c>
      <c r="J17" s="32">
        <f t="shared" si="0"/>
        <v>0.66666666666666663</v>
      </c>
      <c r="K17" s="23"/>
    </row>
    <row r="18" spans="3:11" ht="18" hidden="1" customHeight="1" x14ac:dyDescent="0.25">
      <c r="D18" s="9" t="s">
        <v>27</v>
      </c>
      <c r="E18" s="15">
        <f>E16+E17</f>
        <v>11.827</v>
      </c>
      <c r="I18" s="19" t="s">
        <v>12</v>
      </c>
      <c r="J18" s="18">
        <f>VLOOKUP(E7,I7:J17,2)</f>
        <v>0.8</v>
      </c>
      <c r="K18" s="23"/>
    </row>
    <row r="19" spans="3:11" ht="18" hidden="1" customHeight="1" x14ac:dyDescent="0.25">
      <c r="D19" s="9" t="s">
        <v>28</v>
      </c>
      <c r="E19" s="15">
        <v>1.9590000000000001</v>
      </c>
      <c r="I19" s="20" t="s">
        <v>13</v>
      </c>
      <c r="J19" s="17">
        <f>J18*E8</f>
        <v>36</v>
      </c>
      <c r="K19" s="23"/>
    </row>
    <row r="20" spans="3:11" ht="18" hidden="1" customHeight="1" thickBot="1" x14ac:dyDescent="0.3">
      <c r="D20" s="9" t="s">
        <v>29</v>
      </c>
      <c r="E20" s="15">
        <v>3.532</v>
      </c>
      <c r="I20" s="21" t="s">
        <v>15</v>
      </c>
      <c r="J20" s="22">
        <f>E5-(0.041*2)-(0.022*E15)</f>
        <v>-8.2000000000000003E-2</v>
      </c>
      <c r="K20" s="23"/>
    </row>
    <row r="21" spans="3:11" ht="18" hidden="1" customHeight="1" x14ac:dyDescent="0.25">
      <c r="D21" s="9" t="s">
        <v>30</v>
      </c>
      <c r="E21" s="15">
        <f>E19+E20</f>
        <v>5.4909999999999997</v>
      </c>
    </row>
    <row r="22" spans="3:11" ht="18" hidden="1" customHeight="1" x14ac:dyDescent="0.25">
      <c r="D22" s="10"/>
      <c r="E22" s="5"/>
      <c r="F22" s="4"/>
      <c r="G22" s="4"/>
      <c r="H22" s="4"/>
    </row>
    <row r="23" spans="3:11" s="3" customFormat="1" ht="18" hidden="1" customHeight="1" x14ac:dyDescent="0.25">
      <c r="C23" s="174">
        <v>1</v>
      </c>
      <c r="D23" s="2" t="s">
        <v>1</v>
      </c>
      <c r="E23" s="14"/>
      <c r="F23" s="5"/>
      <c r="G23" s="5"/>
      <c r="H23" s="5"/>
    </row>
    <row r="24" spans="3:11" ht="18" hidden="1" customHeight="1" x14ac:dyDescent="0.25">
      <c r="C24" s="175"/>
      <c r="D24" s="1" t="s">
        <v>2</v>
      </c>
      <c r="E24" s="16">
        <f>($J$19*E4/2)+((($E$9*(1-0.088))+($E$19/$E$6))*H4/2)+$E$16</f>
        <v>67.601043941153719</v>
      </c>
      <c r="F24" s="4"/>
      <c r="G24" s="4"/>
      <c r="H24" s="4"/>
    </row>
    <row r="25" spans="3:11" ht="18" hidden="1" customHeight="1" x14ac:dyDescent="0.25">
      <c r="C25" s="176">
        <v>2</v>
      </c>
      <c r="D25" s="1" t="s">
        <v>3</v>
      </c>
      <c r="E25" s="16"/>
      <c r="F25" s="4"/>
      <c r="G25" s="4"/>
      <c r="H25" s="4"/>
      <c r="I25" s="169" t="s">
        <v>14</v>
      </c>
      <c r="J25" s="169"/>
      <c r="K25" s="169"/>
    </row>
    <row r="26" spans="3:11" ht="18" hidden="1" customHeight="1" x14ac:dyDescent="0.25">
      <c r="C26" s="175"/>
      <c r="D26" s="1" t="s">
        <v>2</v>
      </c>
      <c r="E26" s="16">
        <f>($J$19*E4/2)+(((E9*(1-0.088))+(E21/E6))*H4/2)+E16</f>
        <v>72.084152432629281</v>
      </c>
      <c r="F26" s="4"/>
      <c r="G26" s="4"/>
      <c r="H26" s="4"/>
      <c r="I26" s="172" t="s">
        <v>16</v>
      </c>
      <c r="J26" s="173"/>
      <c r="K26" s="173"/>
    </row>
    <row r="27" spans="3:11" ht="18" hidden="1" customHeight="1" x14ac:dyDescent="0.25">
      <c r="C27" s="176">
        <v>3</v>
      </c>
      <c r="D27" s="112" t="s">
        <v>46</v>
      </c>
      <c r="E27" s="16"/>
      <c r="F27" s="4"/>
      <c r="G27" s="4"/>
      <c r="H27" s="4"/>
    </row>
    <row r="28" spans="3:11" ht="18" hidden="1" customHeight="1" x14ac:dyDescent="0.25">
      <c r="C28" s="175"/>
      <c r="D28" s="1" t="s">
        <v>2</v>
      </c>
      <c r="E28" s="16">
        <f>($J$19*E4/2)+(((E9*(1-0.088))+(E19/E6))*H4/2)+E18</f>
        <v>75.25904394115372</v>
      </c>
      <c r="F28" s="4"/>
      <c r="G28" s="4"/>
      <c r="H28" s="4"/>
    </row>
    <row r="29" spans="3:11" ht="18" hidden="1" customHeight="1" x14ac:dyDescent="0.25">
      <c r="C29" s="176">
        <v>4</v>
      </c>
      <c r="D29" s="112" t="s">
        <v>45</v>
      </c>
      <c r="E29" s="16"/>
      <c r="F29" s="4"/>
      <c r="G29" s="4"/>
      <c r="H29" s="4"/>
    </row>
    <row r="30" spans="3:11" ht="18" hidden="1" customHeight="1" x14ac:dyDescent="0.25">
      <c r="C30" s="175"/>
      <c r="D30" s="1" t="s">
        <v>2</v>
      </c>
      <c r="E30" s="16">
        <f>($J$19*E4/2)+(((E9*(1-0.088))+(E21/E6))*H4/2)+E18</f>
        <v>79.742152432629283</v>
      </c>
      <c r="F30" s="4"/>
      <c r="G30" s="4"/>
      <c r="H30" s="4"/>
    </row>
    <row r="31" spans="3:11" ht="18" hidden="1" customHeight="1" x14ac:dyDescent="0.25">
      <c r="C31" s="176">
        <v>5</v>
      </c>
      <c r="D31" s="112" t="s">
        <v>47</v>
      </c>
      <c r="E31" s="16"/>
      <c r="F31" s="4"/>
      <c r="G31" s="4"/>
      <c r="H31" s="4"/>
    </row>
    <row r="32" spans="3:11" ht="18" hidden="1" customHeight="1" x14ac:dyDescent="0.25">
      <c r="C32" s="175"/>
      <c r="D32" s="1" t="s">
        <v>2</v>
      </c>
      <c r="E32" s="16">
        <f>($J$19*E4/2)+(((E9*(1-0.088))+(E19/E6))*H4/2)+(E16+(2*E17))</f>
        <v>82.917043941153707</v>
      </c>
      <c r="F32" s="4"/>
      <c r="G32" s="4">
        <f>($J$19*E4/2)+(((E9*(1-0.088))+(E19/E6))*H4/2)+(E16+(2*E17))</f>
        <v>82.917043941153707</v>
      </c>
      <c r="H32" s="4"/>
    </row>
    <row r="33" spans="3:36" ht="18" hidden="1" customHeight="1" x14ac:dyDescent="0.25">
      <c r="C33" s="176">
        <v>6</v>
      </c>
      <c r="D33" s="112" t="s">
        <v>48</v>
      </c>
      <c r="E33" s="16"/>
      <c r="F33" s="4"/>
      <c r="G33" s="4"/>
      <c r="H33" s="4"/>
    </row>
    <row r="34" spans="3:36" ht="18" hidden="1" customHeight="1" x14ac:dyDescent="0.25">
      <c r="C34" s="175"/>
      <c r="D34" s="1" t="s">
        <v>2</v>
      </c>
      <c r="E34" s="16">
        <f>($J$19*E4/2)+(((E9*(1-0.088))+(E21/E6))*H4/2)+(E16+(2*E17))</f>
        <v>87.400152432629284</v>
      </c>
      <c r="F34" s="4"/>
      <c r="G34" s="4"/>
      <c r="H34" s="4"/>
    </row>
    <row r="35" spans="3:36" ht="18" hidden="1" customHeight="1" x14ac:dyDescent="0.25">
      <c r="C35" s="96"/>
      <c r="D35" s="54"/>
      <c r="E35" s="5"/>
      <c r="F35" s="4"/>
      <c r="G35" s="4"/>
      <c r="H35" s="4"/>
    </row>
    <row r="36" spans="3:36" ht="18" customHeight="1" x14ac:dyDescent="0.3">
      <c r="C36" s="179"/>
      <c r="D36" s="180"/>
      <c r="E36" s="127"/>
      <c r="F36" s="4"/>
      <c r="G36" s="4"/>
      <c r="H36" s="4"/>
    </row>
    <row r="37" spans="3:36" ht="18" hidden="1" customHeight="1" x14ac:dyDescent="0.25">
      <c r="D37" s="177"/>
      <c r="E37" s="178"/>
      <c r="F37" s="4"/>
      <c r="G37" s="4"/>
      <c r="H37" s="4"/>
      <c r="P37" s="77" t="s">
        <v>57</v>
      </c>
    </row>
    <row r="38" spans="3:36" ht="18" hidden="1" customHeight="1" x14ac:dyDescent="0.3">
      <c r="C38" s="38"/>
      <c r="D38" s="38"/>
      <c r="E38" s="128"/>
      <c r="F38" s="6"/>
      <c r="G38" s="7"/>
      <c r="H38" s="7"/>
      <c r="P38" s="170" t="s">
        <v>33</v>
      </c>
      <c r="Q38" s="171"/>
      <c r="R38" s="94">
        <v>2</v>
      </c>
      <c r="S38" s="44">
        <v>2</v>
      </c>
      <c r="T38" s="94">
        <v>2.5</v>
      </c>
      <c r="U38" s="45">
        <v>2.5</v>
      </c>
      <c r="V38" s="95">
        <v>3</v>
      </c>
      <c r="W38" s="44">
        <v>3</v>
      </c>
      <c r="X38" s="94">
        <v>3.5</v>
      </c>
      <c r="Y38" s="45">
        <v>3.5</v>
      </c>
      <c r="Z38" s="95">
        <v>4</v>
      </c>
      <c r="AA38" s="44">
        <v>4</v>
      </c>
      <c r="AB38" s="94">
        <v>4.5</v>
      </c>
      <c r="AC38" s="45">
        <v>4.5</v>
      </c>
      <c r="AD38" s="95">
        <v>5</v>
      </c>
      <c r="AE38" s="44">
        <v>5</v>
      </c>
      <c r="AF38" s="94">
        <v>5.5</v>
      </c>
      <c r="AG38" s="45">
        <v>5.5</v>
      </c>
      <c r="AH38" s="95">
        <v>6</v>
      </c>
      <c r="AI38" s="45">
        <v>6</v>
      </c>
    </row>
    <row r="39" spans="3:36" ht="18" hidden="1" customHeight="1" x14ac:dyDescent="0.3">
      <c r="C39" s="130">
        <v>1</v>
      </c>
      <c r="D39" s="141" t="s">
        <v>31</v>
      </c>
      <c r="E39" s="133">
        <f>(((384*$H$13*100000)/(5*$E24*E10))^(1/3))/100</f>
        <v>4.6847310778883777</v>
      </c>
      <c r="F39" s="6"/>
      <c r="G39" s="7"/>
      <c r="H39" s="7"/>
      <c r="P39" s="125" t="s">
        <v>0</v>
      </c>
      <c r="Q39" s="126"/>
      <c r="R39" s="56">
        <v>5</v>
      </c>
      <c r="S39" s="58">
        <v>15</v>
      </c>
      <c r="T39" s="56">
        <v>5</v>
      </c>
      <c r="U39" s="57">
        <v>15</v>
      </c>
      <c r="V39" s="59">
        <v>5</v>
      </c>
      <c r="W39" s="58">
        <v>15</v>
      </c>
      <c r="X39" s="56">
        <v>5</v>
      </c>
      <c r="Y39" s="57">
        <v>15</v>
      </c>
      <c r="Z39" s="59">
        <v>5</v>
      </c>
      <c r="AA39" s="58">
        <v>15</v>
      </c>
      <c r="AB39" s="56">
        <v>5</v>
      </c>
      <c r="AC39" s="57">
        <v>15</v>
      </c>
      <c r="AD39" s="59">
        <v>5</v>
      </c>
      <c r="AE39" s="58">
        <v>15</v>
      </c>
      <c r="AF39" s="56">
        <v>5</v>
      </c>
      <c r="AG39" s="57">
        <v>15</v>
      </c>
      <c r="AH39" s="59">
        <v>5</v>
      </c>
      <c r="AI39" s="57">
        <v>15</v>
      </c>
    </row>
    <row r="40" spans="3:36" ht="18" hidden="1" customHeight="1" x14ac:dyDescent="0.3">
      <c r="C40" s="38"/>
      <c r="D40" s="140" t="s">
        <v>52</v>
      </c>
      <c r="E40" s="40"/>
      <c r="F40" s="6"/>
      <c r="G40" s="7"/>
      <c r="H40" s="7"/>
      <c r="P40" s="182" t="s">
        <v>34</v>
      </c>
      <c r="Q40" s="55">
        <v>45</v>
      </c>
      <c r="R40" s="78">
        <f t="shared" ref="R40:AA44" si="1">(((384*$H$13*100000)/(5*((((VLOOKUP(R$39,$I$7:$J$17,2))*$Q40)*R$38/2)+((($E$9*(1-0.088))+($E$19/$E$6))*((R$38/COS(R$39*PI()/180))/2))+$E$16)*$E$10))^(1/3))/100</f>
        <v>5.3114055689453457</v>
      </c>
      <c r="S40" s="79">
        <f t="shared" si="1"/>
        <v>5.3039912743305031</v>
      </c>
      <c r="T40" s="78">
        <f t="shared" si="1"/>
        <v>4.9605751223024477</v>
      </c>
      <c r="U40" s="80">
        <f t="shared" si="1"/>
        <v>4.9535241672710661</v>
      </c>
      <c r="V40" s="81">
        <f t="shared" si="1"/>
        <v>4.6872241848014031</v>
      </c>
      <c r="W40" s="79">
        <f t="shared" si="1"/>
        <v>4.6804797007305519</v>
      </c>
      <c r="X40" s="78">
        <f t="shared" si="1"/>
        <v>4.4656350469176704</v>
      </c>
      <c r="Y40" s="80">
        <f t="shared" si="1"/>
        <v>4.459152369463026</v>
      </c>
      <c r="Z40" s="81">
        <f t="shared" si="1"/>
        <v>4.2807751909679101</v>
      </c>
      <c r="AA40" s="79">
        <f t="shared" si="1"/>
        <v>4.2745192208261935</v>
      </c>
      <c r="AB40" s="78">
        <f t="shared" ref="AB40:AI44" si="2">(((384*$H$13*100000)/(5*((((VLOOKUP(AB$39,$I$7:$J$17,2))*$Q40)*AB$38/2)+((($E$9*(1-0.088))+($E$19/$E$6))*((AB$38/COS(AB$39*PI()/180))/2))+$E$16)*$E$10))^(1/3))/100</f>
        <v>4.1231622022056262</v>
      </c>
      <c r="AC40" s="80">
        <f t="shared" si="2"/>
        <v>4.1171049937398729</v>
      </c>
      <c r="AD40" s="81">
        <f t="shared" si="2"/>
        <v>3.9864642334639124</v>
      </c>
      <c r="AE40" s="79">
        <f t="shared" si="2"/>
        <v>3.9805831893533146</v>
      </c>
      <c r="AF40" s="78">
        <f t="shared" si="2"/>
        <v>3.8662619729852281</v>
      </c>
      <c r="AG40" s="80">
        <f t="shared" si="2"/>
        <v>3.8605385438723987</v>
      </c>
      <c r="AH40" s="81">
        <f t="shared" si="2"/>
        <v>3.7593597944985566</v>
      </c>
      <c r="AI40" s="80">
        <f t="shared" si="2"/>
        <v>3.7537785428357604</v>
      </c>
    </row>
    <row r="41" spans="3:36" ht="18" hidden="1" customHeight="1" x14ac:dyDescent="0.3">
      <c r="C41" s="38"/>
      <c r="D41" s="39"/>
      <c r="E41" s="40"/>
      <c r="F41" s="6"/>
      <c r="G41" s="7"/>
      <c r="H41" s="7"/>
      <c r="P41" s="183"/>
      <c r="Q41" s="42">
        <v>55</v>
      </c>
      <c r="R41" s="82">
        <f t="shared" si="1"/>
        <v>5.0370432296702665</v>
      </c>
      <c r="S41" s="83">
        <f t="shared" si="1"/>
        <v>5.0310437590517756</v>
      </c>
      <c r="T41" s="82">
        <f t="shared" si="1"/>
        <v>4.7001203227025021</v>
      </c>
      <c r="U41" s="84">
        <f t="shared" si="1"/>
        <v>4.6944351974114156</v>
      </c>
      <c r="V41" s="85">
        <f t="shared" si="1"/>
        <v>4.4383929469370269</v>
      </c>
      <c r="W41" s="83">
        <f t="shared" si="1"/>
        <v>4.4329682264140686</v>
      </c>
      <c r="X41" s="82">
        <f t="shared" si="1"/>
        <v>4.226674745816644</v>
      </c>
      <c r="Y41" s="84">
        <f t="shared" si="1"/>
        <v>4.2214698927966401</v>
      </c>
      <c r="Z41" s="85">
        <f t="shared" si="1"/>
        <v>4.0503270638237163</v>
      </c>
      <c r="AA41" s="83">
        <f t="shared" si="1"/>
        <v>4.0453110422964693</v>
      </c>
      <c r="AB41" s="82">
        <f t="shared" si="2"/>
        <v>3.9001540504241303</v>
      </c>
      <c r="AC41" s="84">
        <f t="shared" si="2"/>
        <v>3.8953025753636283</v>
      </c>
      <c r="AD41" s="85">
        <f t="shared" si="2"/>
        <v>3.7700345672600526</v>
      </c>
      <c r="AE41" s="83">
        <f t="shared" si="2"/>
        <v>3.7653282443468998</v>
      </c>
      <c r="AF41" s="82">
        <f t="shared" si="2"/>
        <v>3.6557070009503563</v>
      </c>
      <c r="AG41" s="84">
        <f t="shared" si="2"/>
        <v>3.6511300587811553</v>
      </c>
      <c r="AH41" s="85">
        <f t="shared" si="2"/>
        <v>3.554095973165861</v>
      </c>
      <c r="AI41" s="84">
        <f t="shared" si="2"/>
        <v>3.5496353821160032</v>
      </c>
    </row>
    <row r="42" spans="3:36" ht="18" hidden="1" customHeight="1" x14ac:dyDescent="0.3">
      <c r="C42" s="38"/>
      <c r="D42" s="39"/>
      <c r="E42" s="40"/>
      <c r="F42" s="6"/>
      <c r="G42" s="7"/>
      <c r="H42" s="7"/>
      <c r="P42" s="183"/>
      <c r="Q42" s="42">
        <v>65</v>
      </c>
      <c r="R42" s="82">
        <f t="shared" si="1"/>
        <v>4.8118127137542039</v>
      </c>
      <c r="S42" s="83">
        <f t="shared" si="1"/>
        <v>4.8068149276257479</v>
      </c>
      <c r="T42" s="82">
        <f t="shared" si="1"/>
        <v>4.4869709502602078</v>
      </c>
      <c r="U42" s="84">
        <f t="shared" si="1"/>
        <v>4.4822475620851261</v>
      </c>
      <c r="V42" s="85">
        <f t="shared" si="1"/>
        <v>4.2351891458567641</v>
      </c>
      <c r="W42" s="83">
        <f t="shared" si="1"/>
        <v>4.2306902621225211</v>
      </c>
      <c r="X42" s="82">
        <f t="shared" si="1"/>
        <v>4.0318339315338365</v>
      </c>
      <c r="Y42" s="84">
        <f t="shared" si="1"/>
        <v>4.0275230626228664</v>
      </c>
      <c r="Z42" s="85">
        <f t="shared" si="1"/>
        <v>3.8626479412192065</v>
      </c>
      <c r="AA42" s="83">
        <f t="shared" si="1"/>
        <v>3.8584976158569066</v>
      </c>
      <c r="AB42" s="82">
        <f t="shared" si="2"/>
        <v>3.7187020998731755</v>
      </c>
      <c r="AC42" s="84">
        <f t="shared" si="2"/>
        <v>3.714691067924865</v>
      </c>
      <c r="AD42" s="85">
        <f t="shared" si="2"/>
        <v>3.5940666257615375</v>
      </c>
      <c r="AE42" s="83">
        <f t="shared" si="2"/>
        <v>3.5901780581578606</v>
      </c>
      <c r="AF42" s="82">
        <f t="shared" si="2"/>
        <v>3.4846206755298383</v>
      </c>
      <c r="AG42" s="84">
        <f t="shared" si="2"/>
        <v>3.4808409740799728</v>
      </c>
      <c r="AH42" s="85">
        <f t="shared" si="2"/>
        <v>3.3873948552473401</v>
      </c>
      <c r="AI42" s="84">
        <f t="shared" si="2"/>
        <v>3.3837128422212719</v>
      </c>
    </row>
    <row r="43" spans="3:36" ht="18" hidden="1" customHeight="1" x14ac:dyDescent="0.3">
      <c r="C43" s="38"/>
      <c r="D43" s="39"/>
      <c r="E43" s="40"/>
      <c r="F43" s="6"/>
      <c r="G43" s="7"/>
      <c r="H43" s="7"/>
      <c r="P43" s="183"/>
      <c r="Q43" s="43">
        <v>90</v>
      </c>
      <c r="R43" s="86">
        <f t="shared" si="1"/>
        <v>4.3858402955480882</v>
      </c>
      <c r="S43" s="87">
        <f t="shared" si="1"/>
        <v>4.3823890727890618</v>
      </c>
      <c r="T43" s="86">
        <f t="shared" si="1"/>
        <v>4.0852822740938066</v>
      </c>
      <c r="U43" s="88">
        <f t="shared" si="1"/>
        <v>4.0820347450388006</v>
      </c>
      <c r="V43" s="89">
        <f t="shared" si="1"/>
        <v>3.8531723813078549</v>
      </c>
      <c r="W43" s="87">
        <f t="shared" si="1"/>
        <v>3.8500883766062612</v>
      </c>
      <c r="X43" s="86">
        <f t="shared" si="1"/>
        <v>3.6661838356718346</v>
      </c>
      <c r="Y43" s="88">
        <f t="shared" si="1"/>
        <v>3.6632350609395785</v>
      </c>
      <c r="Z43" s="89">
        <f t="shared" si="1"/>
        <v>3.510907924298388</v>
      </c>
      <c r="AA43" s="87">
        <f t="shared" si="1"/>
        <v>3.508073585505231</v>
      </c>
      <c r="AB43" s="86">
        <f t="shared" si="2"/>
        <v>3.3789887633681679</v>
      </c>
      <c r="AC43" s="88">
        <f t="shared" si="2"/>
        <v>3.3762530443695478</v>
      </c>
      <c r="AD43" s="89">
        <f t="shared" si="2"/>
        <v>3.2648981756849058</v>
      </c>
      <c r="AE43" s="87">
        <f t="shared" si="2"/>
        <v>3.2622487062029313</v>
      </c>
      <c r="AF43" s="86">
        <f t="shared" si="2"/>
        <v>3.1648058235767889</v>
      </c>
      <c r="AG43" s="88">
        <f t="shared" si="2"/>
        <v>3.1622327039437579</v>
      </c>
      <c r="AH43" s="89">
        <f t="shared" si="2"/>
        <v>3.0759582732489092</v>
      </c>
      <c r="AI43" s="88">
        <f t="shared" si="2"/>
        <v>3.0734534279880505</v>
      </c>
    </row>
    <row r="44" spans="3:36" ht="18" hidden="1" customHeight="1" x14ac:dyDescent="0.25">
      <c r="C44" s="38"/>
      <c r="D44" s="38"/>
      <c r="E44" s="128"/>
      <c r="F44" s="8"/>
      <c r="G44" s="7"/>
      <c r="H44" s="7"/>
      <c r="O44" s="54"/>
      <c r="P44" s="183"/>
      <c r="Q44" s="136">
        <v>140</v>
      </c>
      <c r="R44" s="86">
        <f t="shared" si="1"/>
        <v>3.8437891213502242</v>
      </c>
      <c r="S44" s="86">
        <f t="shared" si="1"/>
        <v>3.8417519699732323</v>
      </c>
      <c r="T44" s="86">
        <f t="shared" si="1"/>
        <v>3.5763981498718107</v>
      </c>
      <c r="U44" s="86">
        <f t="shared" si="1"/>
        <v>3.5744897235797435</v>
      </c>
      <c r="V44" s="86">
        <f t="shared" si="1"/>
        <v>3.3706654966934315</v>
      </c>
      <c r="W44" s="86">
        <f t="shared" si="1"/>
        <v>3.3688585984972814</v>
      </c>
      <c r="X44" s="86">
        <f t="shared" si="1"/>
        <v>3.2053531651162661</v>
      </c>
      <c r="Y44" s="86">
        <f t="shared" si="1"/>
        <v>3.2036292341630399</v>
      </c>
      <c r="Z44" s="86">
        <f t="shared" si="1"/>
        <v>3.0683375728906763</v>
      </c>
      <c r="AA44" s="86">
        <f t="shared" si="1"/>
        <v>3.0666832523450536</v>
      </c>
      <c r="AB44" s="86">
        <f t="shared" si="2"/>
        <v>2.9521014442233855</v>
      </c>
      <c r="AC44" s="86">
        <f t="shared" si="2"/>
        <v>2.9505067264333995</v>
      </c>
      <c r="AD44" s="86">
        <f t="shared" si="2"/>
        <v>2.851690258226717</v>
      </c>
      <c r="AE44" s="86">
        <f t="shared" si="2"/>
        <v>2.8501474039673793</v>
      </c>
      <c r="AF44" s="86">
        <f t="shared" si="2"/>
        <v>2.7636813620311078</v>
      </c>
      <c r="AG44" s="86">
        <f t="shared" si="2"/>
        <v>2.7621842321967645</v>
      </c>
      <c r="AH44" s="86">
        <f t="shared" si="2"/>
        <v>2.6856202909245979</v>
      </c>
      <c r="AI44" s="86">
        <f t="shared" si="2"/>
        <v>2.6841639129971502</v>
      </c>
      <c r="AJ44" s="54"/>
    </row>
    <row r="45" spans="3:36" ht="18" customHeight="1" x14ac:dyDescent="0.3">
      <c r="C45" s="130">
        <v>2</v>
      </c>
      <c r="D45" s="160" t="s">
        <v>53</v>
      </c>
      <c r="E45" s="133">
        <f>1.1*((((384*$H$13*100000)/(5*$E26*E10))^(1/3))/100)</f>
        <v>5.0440790750392397</v>
      </c>
      <c r="F45" s="8"/>
      <c r="G45" s="7"/>
      <c r="H45" s="7"/>
      <c r="O45" s="54"/>
      <c r="P45" s="77" t="s">
        <v>58</v>
      </c>
      <c r="AJ45" s="54"/>
    </row>
    <row r="46" spans="3:36" ht="18" customHeight="1" x14ac:dyDescent="0.25">
      <c r="C46" s="38"/>
      <c r="D46" s="39"/>
      <c r="E46" s="40"/>
      <c r="F46" s="8"/>
      <c r="G46" s="7"/>
      <c r="H46" s="7"/>
      <c r="O46" s="54"/>
      <c r="P46" s="161" t="s">
        <v>34</v>
      </c>
      <c r="Q46" s="41">
        <v>45</v>
      </c>
      <c r="R46" s="148">
        <f>1.1*((((384*$H$13*100000)/(5*((((VLOOKUP(R$39,$I$7:$J$17,2))*$Q46)*R$38/2)+((($E$9*(1-0.088))+($E$21/$E$6))*((R$38/COS(R$39*PI()/180))/2))+$E$16)*$E$10))^(1/3))/100)</f>
        <v>5.7235158971722226</v>
      </c>
      <c r="S46" s="148">
        <f t="shared" ref="S46:AI50" si="3">1.1*((((384*$H$13*100000)/(5*((((VLOOKUP(S$39,$I$7:$J$17,2))*$Q46)*S$38/2)+((($E$9*(1-0.088))+($E$21/$E$6))*((S$38/COS(S$39*PI()/180))/2))+$E$16)*$E$10))^(1/3))/100)</f>
        <v>5.7124466205155819</v>
      </c>
      <c r="T46" s="148">
        <f t="shared" si="3"/>
        <v>5.3435129553690492</v>
      </c>
      <c r="U46" s="148">
        <f t="shared" si="3"/>
        <v>5.3330016582942879</v>
      </c>
      <c r="V46" s="148">
        <f t="shared" si="3"/>
        <v>5.0477945239041206</v>
      </c>
      <c r="W46" s="148">
        <f t="shared" si="3"/>
        <v>5.0377502862080252</v>
      </c>
      <c r="X46" s="148">
        <f t="shared" si="3"/>
        <v>4.8082803168396353</v>
      </c>
      <c r="Y46" s="148">
        <f t="shared" si="3"/>
        <v>4.7986331053027378</v>
      </c>
      <c r="Z46" s="148">
        <f t="shared" si="3"/>
        <v>4.6085947829725491</v>
      </c>
      <c r="AA46" s="148">
        <f t="shared" si="3"/>
        <v>4.599290181798394</v>
      </c>
      <c r="AB46" s="148">
        <f t="shared" si="3"/>
        <v>4.438425765211111</v>
      </c>
      <c r="AC46" s="148">
        <f t="shared" si="3"/>
        <v>4.4294207716669849</v>
      </c>
      <c r="AD46" s="148">
        <f t="shared" si="3"/>
        <v>4.29089623779186</v>
      </c>
      <c r="AE46" s="148">
        <f t="shared" si="3"/>
        <v>4.2821562637484964</v>
      </c>
      <c r="AF46" s="148">
        <f t="shared" si="3"/>
        <v>4.1612112702977981</v>
      </c>
      <c r="AG46" s="148">
        <f t="shared" si="3"/>
        <v>4.1527080367999805</v>
      </c>
      <c r="AH46" s="148">
        <f t="shared" si="3"/>
        <v>4.0459064870945287</v>
      </c>
      <c r="AI46" s="148">
        <f t="shared" si="3"/>
        <v>4.0376165324386921</v>
      </c>
      <c r="AJ46" s="54"/>
    </row>
    <row r="47" spans="3:36" ht="18" customHeight="1" x14ac:dyDescent="0.25">
      <c r="C47" s="38"/>
      <c r="D47" s="39"/>
      <c r="E47" s="40"/>
      <c r="F47" s="8"/>
      <c r="G47" s="7"/>
      <c r="H47" s="7"/>
      <c r="O47" s="54"/>
      <c r="P47" s="162"/>
      <c r="Q47" s="42">
        <v>55</v>
      </c>
      <c r="R47" s="149">
        <f t="shared" ref="R47:AG50" si="4">1.1*((((384*$H$13*100000)/(5*((((VLOOKUP(R$39,$I$7:$J$17,2))*$Q47)*R$38/2)+((($E$9*(1-0.088))+($E$21/$E$6))*((R$38/COS(R$39*PI()/180))/2))+$E$16)*$E$10))^(1/3))/100)</f>
        <v>5.4438974479170064</v>
      </c>
      <c r="S47" s="149">
        <f t="shared" si="4"/>
        <v>5.4348329957096153</v>
      </c>
      <c r="T47" s="149">
        <f t="shared" si="4"/>
        <v>5.0784027062311159</v>
      </c>
      <c r="U47" s="149">
        <f t="shared" si="4"/>
        <v>5.0698224735674673</v>
      </c>
      <c r="V47" s="149">
        <f t="shared" si="4"/>
        <v>4.7947341924969455</v>
      </c>
      <c r="W47" s="149">
        <f t="shared" si="4"/>
        <v>4.7865530238493852</v>
      </c>
      <c r="X47" s="149">
        <f t="shared" si="4"/>
        <v>4.5654114151749488</v>
      </c>
      <c r="Y47" s="149">
        <f t="shared" si="4"/>
        <v>4.5575660512870879</v>
      </c>
      <c r="Z47" s="149">
        <f t="shared" si="4"/>
        <v>4.3744892567297642</v>
      </c>
      <c r="AA47" s="149">
        <f t="shared" si="4"/>
        <v>4.3669316073507014</v>
      </c>
      <c r="AB47" s="149">
        <f t="shared" si="4"/>
        <v>4.2119634479398762</v>
      </c>
      <c r="AC47" s="149">
        <f t="shared" si="4"/>
        <v>4.2046560642664277</v>
      </c>
      <c r="AD47" s="149">
        <f t="shared" si="4"/>
        <v>4.0711809594230379</v>
      </c>
      <c r="AE47" s="149">
        <f t="shared" si="4"/>
        <v>4.0640940388142246</v>
      </c>
      <c r="AF47" s="149">
        <f t="shared" si="4"/>
        <v>3.9475132831767934</v>
      </c>
      <c r="AG47" s="149">
        <f t="shared" si="4"/>
        <v>3.9406226546214844</v>
      </c>
      <c r="AH47" s="149">
        <f t="shared" si="3"/>
        <v>3.8376222656823042</v>
      </c>
      <c r="AI47" s="149">
        <f t="shared" si="3"/>
        <v>3.8309080019741168</v>
      </c>
      <c r="AJ47" s="54"/>
    </row>
    <row r="48" spans="3:36" ht="18" customHeight="1" x14ac:dyDescent="0.25">
      <c r="C48" s="38"/>
      <c r="D48" s="39"/>
      <c r="E48" s="40"/>
      <c r="F48" s="8"/>
      <c r="G48" s="7"/>
      <c r="H48" s="7"/>
      <c r="O48" s="54"/>
      <c r="P48" s="162"/>
      <c r="Q48" s="42">
        <v>65</v>
      </c>
      <c r="R48" s="149">
        <f t="shared" si="4"/>
        <v>5.2119795732809653</v>
      </c>
      <c r="S48" s="149">
        <f t="shared" si="3"/>
        <v>5.2043607207256786</v>
      </c>
      <c r="T48" s="149">
        <f t="shared" si="3"/>
        <v>4.8591309014322821</v>
      </c>
      <c r="U48" s="149">
        <f t="shared" si="3"/>
        <v>4.8519362996393713</v>
      </c>
      <c r="V48" s="149">
        <f t="shared" si="3"/>
        <v>4.585827744124102</v>
      </c>
      <c r="W48" s="149">
        <f t="shared" si="3"/>
        <v>4.5789789613023872</v>
      </c>
      <c r="X48" s="149">
        <f t="shared" si="3"/>
        <v>4.3651959744963129</v>
      </c>
      <c r="Y48" s="149">
        <f t="shared" si="3"/>
        <v>4.3586360910573685</v>
      </c>
      <c r="Z48" s="149">
        <f t="shared" si="3"/>
        <v>4.1817012740998196</v>
      </c>
      <c r="AA48" s="149">
        <f t="shared" si="3"/>
        <v>4.1753876464246122</v>
      </c>
      <c r="AB48" s="149">
        <f t="shared" si="3"/>
        <v>4.0256239043166628</v>
      </c>
      <c r="AC48" s="149">
        <f t="shared" si="3"/>
        <v>4.0195236569263573</v>
      </c>
      <c r="AD48" s="149">
        <f t="shared" si="3"/>
        <v>3.890513580508125</v>
      </c>
      <c r="AE48" s="149">
        <f t="shared" si="3"/>
        <v>3.8846007420966346</v>
      </c>
      <c r="AF48" s="149">
        <f t="shared" si="3"/>
        <v>3.7718902429628391</v>
      </c>
      <c r="AG48" s="149">
        <f t="shared" si="3"/>
        <v>3.7661438681297117</v>
      </c>
      <c r="AH48" s="149">
        <f t="shared" si="3"/>
        <v>3.6665271108940698</v>
      </c>
      <c r="AI48" s="149">
        <f t="shared" si="3"/>
        <v>3.6609300084260683</v>
      </c>
      <c r="AJ48" s="54"/>
    </row>
    <row r="49" spans="3:36" ht="18" customHeight="1" x14ac:dyDescent="0.25">
      <c r="C49" s="38"/>
      <c r="D49" s="39"/>
      <c r="E49" s="40"/>
      <c r="F49" s="8"/>
      <c r="G49" s="7"/>
      <c r="H49" s="7"/>
      <c r="O49" s="54"/>
      <c r="P49" s="162"/>
      <c r="Q49" s="42">
        <v>90</v>
      </c>
      <c r="R49" s="149">
        <f t="shared" si="4"/>
        <v>4.7680931256447217</v>
      </c>
      <c r="S49" s="149">
        <f t="shared" si="3"/>
        <v>4.762752955743526</v>
      </c>
      <c r="T49" s="149">
        <f t="shared" si="3"/>
        <v>4.4408157127863666</v>
      </c>
      <c r="U49" s="149">
        <f t="shared" si="3"/>
        <v>4.4357931244434594</v>
      </c>
      <c r="V49" s="149">
        <f t="shared" si="3"/>
        <v>4.1881708342327917</v>
      </c>
      <c r="W49" s="149">
        <f t="shared" si="3"/>
        <v>4.1834026955426582</v>
      </c>
      <c r="X49" s="149">
        <f t="shared" si="3"/>
        <v>3.9846950566891866</v>
      </c>
      <c r="Y49" s="149">
        <f t="shared" si="3"/>
        <v>3.980137062313394</v>
      </c>
      <c r="Z49" s="149">
        <f t="shared" si="3"/>
        <v>3.8157622776887337</v>
      </c>
      <c r="AA49" s="149">
        <f t="shared" si="3"/>
        <v>3.8113819453904747</v>
      </c>
      <c r="AB49" s="149">
        <f t="shared" si="3"/>
        <v>3.672262838730064</v>
      </c>
      <c r="AC49" s="149">
        <f t="shared" si="3"/>
        <v>3.6680355044520612</v>
      </c>
      <c r="AD49" s="149">
        <f t="shared" si="3"/>
        <v>3.5481723120423774</v>
      </c>
      <c r="AE49" s="149">
        <f t="shared" si="3"/>
        <v>3.5440787099507478</v>
      </c>
      <c r="AF49" s="149">
        <f t="shared" si="3"/>
        <v>3.4393178480366378</v>
      </c>
      <c r="AG49" s="149">
        <f t="shared" si="3"/>
        <v>3.4353425754063034</v>
      </c>
      <c r="AH49" s="149">
        <f t="shared" si="3"/>
        <v>3.3427005689026257</v>
      </c>
      <c r="AI49" s="149">
        <f t="shared" si="3"/>
        <v>3.3388310712120446</v>
      </c>
      <c r="AJ49" s="54"/>
    </row>
    <row r="50" spans="3:36" ht="18" customHeight="1" x14ac:dyDescent="0.3">
      <c r="C50" s="38"/>
      <c r="D50" s="38"/>
      <c r="E50" s="128"/>
      <c r="F50" s="6"/>
      <c r="G50" s="7"/>
      <c r="H50" s="7"/>
      <c r="O50" s="54"/>
      <c r="P50" s="163"/>
      <c r="Q50" s="144">
        <v>140</v>
      </c>
      <c r="R50" s="150">
        <f t="shared" si="4"/>
        <v>4.1946806176397713</v>
      </c>
      <c r="S50" s="150">
        <f t="shared" si="3"/>
        <v>4.1914796438001813</v>
      </c>
      <c r="T50" s="150">
        <f t="shared" si="3"/>
        <v>3.9026697399148693</v>
      </c>
      <c r="U50" s="150">
        <f t="shared" si="3"/>
        <v>3.8996716869002981</v>
      </c>
      <c r="V50" s="150">
        <f t="shared" si="3"/>
        <v>3.6780346265609078</v>
      </c>
      <c r="W50" s="150">
        <f t="shared" si="3"/>
        <v>3.6751964878749526</v>
      </c>
      <c r="X50" s="150">
        <f t="shared" si="3"/>
        <v>3.4975560628854061</v>
      </c>
      <c r="Y50" s="150">
        <f t="shared" si="3"/>
        <v>3.4948485300355161</v>
      </c>
      <c r="Z50" s="150">
        <f t="shared" si="3"/>
        <v>3.3479839462794545</v>
      </c>
      <c r="AA50" s="150">
        <f t="shared" si="3"/>
        <v>3.3453859484319026</v>
      </c>
      <c r="AB50" s="150">
        <f t="shared" si="3"/>
        <v>3.2211044820795864</v>
      </c>
      <c r="AC50" s="150">
        <f t="shared" si="3"/>
        <v>3.2186002428063194</v>
      </c>
      <c r="AD50" s="150">
        <f t="shared" si="3"/>
        <v>3.111505073737125</v>
      </c>
      <c r="AE50" s="150">
        <f t="shared" si="3"/>
        <v>3.1090823990587668</v>
      </c>
      <c r="AF50" s="150">
        <f t="shared" si="3"/>
        <v>3.015447158962635</v>
      </c>
      <c r="AG50" s="150">
        <f t="shared" si="3"/>
        <v>3.013096380050527</v>
      </c>
      <c r="AH50" s="150">
        <f t="shared" si="3"/>
        <v>2.930250036520837</v>
      </c>
      <c r="AI50" s="150">
        <f t="shared" si="3"/>
        <v>2.9279633244755363</v>
      </c>
      <c r="AJ50" s="54"/>
    </row>
    <row r="51" spans="3:36" ht="18" hidden="1" customHeight="1" x14ac:dyDescent="0.3">
      <c r="C51" s="130">
        <v>3</v>
      </c>
      <c r="D51" s="141" t="s">
        <v>31</v>
      </c>
      <c r="E51" s="133">
        <f>(((384*$H$14*100000)/(5*$E28*E10))^(1/3))/100</f>
        <v>5.6633176564254653</v>
      </c>
      <c r="F51" s="6"/>
      <c r="G51" s="7"/>
      <c r="H51" s="7"/>
      <c r="O51" s="54"/>
      <c r="P51" s="77" t="s">
        <v>61</v>
      </c>
      <c r="AJ51" s="54"/>
    </row>
    <row r="52" spans="3:36" ht="18" hidden="1" customHeight="1" x14ac:dyDescent="0.3">
      <c r="C52" s="38"/>
      <c r="D52" s="140" t="s">
        <v>52</v>
      </c>
      <c r="E52" s="40"/>
      <c r="F52" s="6"/>
      <c r="G52" s="7"/>
      <c r="H52" s="7"/>
      <c r="O52" s="54"/>
      <c r="P52" s="182" t="s">
        <v>34</v>
      </c>
      <c r="Q52" s="41">
        <v>45</v>
      </c>
      <c r="R52" s="90">
        <f t="shared" ref="R52:AA56" si="5">(((384*$H$14*100000)/(5*((((VLOOKUP(R$39,$I$7:$J$17,2))*$Q52)*R$38/2)+((($E$9*(1-0.088))+($E$19/$E$6))*((R$38/COS(R$39*PI()/180))/2))+$E$18)*$E$10))^(1/3))/100</f>
        <v>6.3242678867571467</v>
      </c>
      <c r="S52" s="91">
        <f t="shared" si="5"/>
        <v>6.3166876871053077</v>
      </c>
      <c r="T52" s="90">
        <f t="shared" si="5"/>
        <v>5.9591722498482271</v>
      </c>
      <c r="U52" s="92">
        <f t="shared" si="5"/>
        <v>5.9517035368476581</v>
      </c>
      <c r="V52" s="93">
        <f t="shared" si="5"/>
        <v>5.6660245726552319</v>
      </c>
      <c r="W52" s="91">
        <f t="shared" si="5"/>
        <v>5.6587003280078294</v>
      </c>
      <c r="X52" s="90">
        <f t="shared" si="5"/>
        <v>5.4231878129878712</v>
      </c>
      <c r="Y52" s="92">
        <f t="shared" si="5"/>
        <v>5.4160166664523954</v>
      </c>
      <c r="Z52" s="93">
        <f t="shared" si="5"/>
        <v>5.2172651416848677</v>
      </c>
      <c r="AA52" s="91">
        <f t="shared" si="5"/>
        <v>5.2102455240632208</v>
      </c>
      <c r="AB52" s="90">
        <f t="shared" ref="AB52:AI56" si="6">(((384*$H$14*100000)/(5*((((VLOOKUP(AB$39,$I$7:$J$17,2))*$Q52)*AB$38/2)+((($E$9*(1-0.088))+($E$19/$E$6))*((AB$38/COS(AB$39*PI()/180))/2))+$E$18)*$E$10))^(1/3))/100</f>
        <v>5.0394365239528396</v>
      </c>
      <c r="AC52" s="92">
        <f t="shared" si="6"/>
        <v>5.0325625781709364</v>
      </c>
      <c r="AD52" s="93">
        <f t="shared" si="6"/>
        <v>4.8836141537087121</v>
      </c>
      <c r="AE52" s="91">
        <f t="shared" si="6"/>
        <v>4.8768783752039973</v>
      </c>
      <c r="AF52" s="90">
        <f t="shared" si="6"/>
        <v>4.7454353234049949</v>
      </c>
      <c r="AG52" s="92">
        <f t="shared" si="6"/>
        <v>4.7388297841668194</v>
      </c>
      <c r="AH52" s="93">
        <f t="shared" si="6"/>
        <v>4.6216765252714289</v>
      </c>
      <c r="AI52" s="92">
        <f t="shared" si="6"/>
        <v>4.6151934448870966</v>
      </c>
      <c r="AJ52" s="54"/>
    </row>
    <row r="53" spans="3:36" ht="18" hidden="1" customHeight="1" x14ac:dyDescent="0.3">
      <c r="C53" s="38"/>
      <c r="D53" s="39"/>
      <c r="E53" s="40"/>
      <c r="F53" s="6"/>
      <c r="G53" s="7"/>
      <c r="H53" s="7"/>
      <c r="O53" s="54"/>
      <c r="P53" s="184"/>
      <c r="Q53" s="42">
        <v>55</v>
      </c>
      <c r="R53" s="82">
        <f t="shared" si="5"/>
        <v>6.0398459854136206</v>
      </c>
      <c r="S53" s="83">
        <f t="shared" si="5"/>
        <v>6.0335381953446419</v>
      </c>
      <c r="T53" s="82">
        <f t="shared" si="5"/>
        <v>5.6800173086270709</v>
      </c>
      <c r="U53" s="84">
        <f t="shared" si="5"/>
        <v>5.6738506984507344</v>
      </c>
      <c r="V53" s="85">
        <f t="shared" si="5"/>
        <v>5.3930276236626868</v>
      </c>
      <c r="W53" s="83">
        <f t="shared" si="5"/>
        <v>5.387014029588804</v>
      </c>
      <c r="X53" s="82">
        <f t="shared" si="5"/>
        <v>5.156453624008515</v>
      </c>
      <c r="Y53" s="84">
        <f t="shared" si="5"/>
        <v>5.1505904112836882</v>
      </c>
      <c r="Z53" s="85">
        <f t="shared" si="5"/>
        <v>4.9565904196912287</v>
      </c>
      <c r="AA53" s="83">
        <f t="shared" si="5"/>
        <v>4.9508698350852685</v>
      </c>
      <c r="AB53" s="82">
        <f t="shared" si="6"/>
        <v>4.7845027750813571</v>
      </c>
      <c r="AC53" s="84">
        <f t="shared" si="6"/>
        <v>4.7789155498143119</v>
      </c>
      <c r="AD53" s="85">
        <f t="shared" si="6"/>
        <v>4.6340702133798715</v>
      </c>
      <c r="AE53" s="83">
        <f t="shared" si="6"/>
        <v>4.6286070124667216</v>
      </c>
      <c r="AF53" s="82">
        <f t="shared" si="6"/>
        <v>4.500933408995647</v>
      </c>
      <c r="AG53" s="84">
        <f t="shared" si="6"/>
        <v>4.4955854053167119</v>
      </c>
      <c r="AH53" s="85">
        <f t="shared" si="6"/>
        <v>4.3818875317474424</v>
      </c>
      <c r="AI53" s="84">
        <f t="shared" si="6"/>
        <v>4.3766466062074478</v>
      </c>
      <c r="AJ53" s="54"/>
    </row>
    <row r="54" spans="3:36" ht="18" hidden="1" customHeight="1" x14ac:dyDescent="0.3">
      <c r="C54" s="38"/>
      <c r="D54" s="39"/>
      <c r="E54" s="40"/>
      <c r="F54" s="6"/>
      <c r="G54" s="7"/>
      <c r="H54" s="7"/>
      <c r="O54" s="54"/>
      <c r="P54" s="184"/>
      <c r="Q54" s="42">
        <v>65</v>
      </c>
      <c r="R54" s="82">
        <f t="shared" si="5"/>
        <v>5.8005421762803779</v>
      </c>
      <c r="S54" s="83">
        <f t="shared" si="5"/>
        <v>5.7951749280572873</v>
      </c>
      <c r="T54" s="82">
        <f t="shared" si="5"/>
        <v>5.4467633103211766</v>
      </c>
      <c r="U54" s="84">
        <f t="shared" si="5"/>
        <v>5.4415476021969473</v>
      </c>
      <c r="V54" s="85">
        <f t="shared" si="5"/>
        <v>5.1660402237302385</v>
      </c>
      <c r="W54" s="83">
        <f t="shared" si="5"/>
        <v>5.1609755459930033</v>
      </c>
      <c r="X54" s="82">
        <f t="shared" si="5"/>
        <v>4.9354901504504447</v>
      </c>
      <c r="Y54" s="84">
        <f t="shared" si="5"/>
        <v>4.9305677847164811</v>
      </c>
      <c r="Z54" s="85">
        <f t="shared" si="5"/>
        <v>4.7412645595175062</v>
      </c>
      <c r="AA54" s="83">
        <f t="shared" si="5"/>
        <v>4.7364737376715427</v>
      </c>
      <c r="AB54" s="82">
        <f t="shared" si="6"/>
        <v>4.5744008793257986</v>
      </c>
      <c r="AC54" s="84">
        <f t="shared" si="6"/>
        <v>4.5697309146759935</v>
      </c>
      <c r="AD54" s="85">
        <f t="shared" si="6"/>
        <v>4.4287949928463277</v>
      </c>
      <c r="AE54" s="83">
        <f t="shared" si="6"/>
        <v>4.4242359979317163</v>
      </c>
      <c r="AF54" s="82">
        <f t="shared" si="6"/>
        <v>4.3001191293780865</v>
      </c>
      <c r="AG54" s="84">
        <f t="shared" si="6"/>
        <v>4.2956622047898465</v>
      </c>
      <c r="AH54" s="85">
        <f t="shared" si="6"/>
        <v>4.185203593404129</v>
      </c>
      <c r="AI54" s="84">
        <f t="shared" si="6"/>
        <v>4.1808408158667261</v>
      </c>
      <c r="AJ54" s="54"/>
    </row>
    <row r="55" spans="3:36" ht="18" hidden="1" customHeight="1" x14ac:dyDescent="0.3">
      <c r="C55" s="38"/>
      <c r="D55" s="39"/>
      <c r="E55" s="40"/>
      <c r="F55" s="6"/>
      <c r="G55" s="7"/>
      <c r="H55" s="7"/>
      <c r="O55" s="54"/>
      <c r="P55" s="184"/>
      <c r="Q55" s="43">
        <v>90</v>
      </c>
      <c r="R55" s="86">
        <f t="shared" si="5"/>
        <v>5.3346621556408822</v>
      </c>
      <c r="S55" s="87">
        <f t="shared" si="5"/>
        <v>5.3308208093246527</v>
      </c>
      <c r="T55" s="86">
        <f t="shared" si="5"/>
        <v>4.9964016600059189</v>
      </c>
      <c r="U55" s="88">
        <f t="shared" si="5"/>
        <v>4.9927069674663604</v>
      </c>
      <c r="V55" s="89">
        <f t="shared" si="5"/>
        <v>4.730324892354596</v>
      </c>
      <c r="W55" s="87">
        <f t="shared" si="5"/>
        <v>4.7267629876379855</v>
      </c>
      <c r="X55" s="86">
        <f t="shared" si="5"/>
        <v>4.5131700857498664</v>
      </c>
      <c r="Y55" s="88">
        <f t="shared" si="5"/>
        <v>4.509726718503277</v>
      </c>
      <c r="Z55" s="89">
        <f t="shared" si="5"/>
        <v>4.3310924506071418</v>
      </c>
      <c r="AA55" s="87">
        <f t="shared" si="5"/>
        <v>4.3277548708453022</v>
      </c>
      <c r="AB55" s="86">
        <f t="shared" si="6"/>
        <v>4.1752421672929874</v>
      </c>
      <c r="AC55" s="88">
        <f t="shared" si="6"/>
        <v>4.1719994000830836</v>
      </c>
      <c r="AD55" s="89">
        <f t="shared" si="6"/>
        <v>4.0396493584302764</v>
      </c>
      <c r="AE55" s="87">
        <f t="shared" si="6"/>
        <v>4.0364920501344104</v>
      </c>
      <c r="AF55" s="86">
        <f t="shared" si="6"/>
        <v>3.9201136125664391</v>
      </c>
      <c r="AG55" s="88">
        <f t="shared" si="6"/>
        <v>3.9170337873167211</v>
      </c>
      <c r="AH55" s="89">
        <f t="shared" si="6"/>
        <v>3.8135776224735567</v>
      </c>
      <c r="AI55" s="88">
        <f t="shared" si="6"/>
        <v>3.8105684477344992</v>
      </c>
      <c r="AJ55" s="54"/>
    </row>
    <row r="56" spans="3:36" ht="18" hidden="1" customHeight="1" x14ac:dyDescent="0.25">
      <c r="C56" s="38"/>
      <c r="D56" s="38"/>
      <c r="E56" s="128"/>
      <c r="F56" s="8"/>
      <c r="G56" s="7"/>
      <c r="H56" s="7"/>
      <c r="O56" s="54"/>
      <c r="P56" s="183"/>
      <c r="Q56" s="137">
        <v>140</v>
      </c>
      <c r="R56" s="139">
        <f t="shared" si="5"/>
        <v>4.7194854971121947</v>
      </c>
      <c r="S56" s="139">
        <f t="shared" si="5"/>
        <v>4.7171313871289371</v>
      </c>
      <c r="T56" s="139">
        <f t="shared" si="5"/>
        <v>4.4080725945218999</v>
      </c>
      <c r="U56" s="139">
        <f t="shared" si="5"/>
        <v>4.405833125459484</v>
      </c>
      <c r="V56" s="139">
        <f t="shared" si="5"/>
        <v>4.1653749079373599</v>
      </c>
      <c r="W56" s="139">
        <f t="shared" si="5"/>
        <v>4.1632323023626254</v>
      </c>
      <c r="X56" s="139">
        <f t="shared" si="5"/>
        <v>3.9686007017556175</v>
      </c>
      <c r="Y56" s="139">
        <f t="shared" si="5"/>
        <v>3.9665409341293709</v>
      </c>
      <c r="Z56" s="139">
        <f t="shared" si="5"/>
        <v>3.8044216140625466</v>
      </c>
      <c r="AA56" s="139">
        <f t="shared" si="5"/>
        <v>3.8024336338832212</v>
      </c>
      <c r="AB56" s="139">
        <f t="shared" si="6"/>
        <v>3.6644273723124057</v>
      </c>
      <c r="AC56" s="139">
        <f t="shared" si="6"/>
        <v>3.6625023663864384</v>
      </c>
      <c r="AD56" s="139">
        <f t="shared" si="6"/>
        <v>3.543000604558999</v>
      </c>
      <c r="AE56" s="139">
        <f t="shared" si="6"/>
        <v>3.5411314378266678</v>
      </c>
      <c r="AF56" s="139">
        <f t="shared" si="6"/>
        <v>3.436219870526998</v>
      </c>
      <c r="AG56" s="139">
        <f t="shared" si="6"/>
        <v>3.4344006808047403</v>
      </c>
      <c r="AH56" s="139">
        <f t="shared" si="6"/>
        <v>3.3412490903113286</v>
      </c>
      <c r="AI56" s="139">
        <f t="shared" si="6"/>
        <v>3.3394749954393963</v>
      </c>
      <c r="AJ56" s="54"/>
    </row>
    <row r="57" spans="3:36" ht="18" customHeight="1" x14ac:dyDescent="0.3">
      <c r="C57" s="132">
        <v>4</v>
      </c>
      <c r="D57" s="160" t="s">
        <v>54</v>
      </c>
      <c r="E57" s="134">
        <f>1.1*((((384*$H$14*100000)/(5*$E30*E10))^(1/3))/100)</f>
        <v>6.1106468865426162</v>
      </c>
      <c r="O57" s="54"/>
      <c r="P57" s="77" t="s">
        <v>59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4"/>
    </row>
    <row r="58" spans="3:36" ht="18" customHeight="1" x14ac:dyDescent="0.3">
      <c r="C58" s="132"/>
      <c r="D58" s="131"/>
      <c r="E58" s="147"/>
      <c r="O58" s="54"/>
      <c r="P58" s="161" t="s">
        <v>34</v>
      </c>
      <c r="Q58" s="41">
        <v>45</v>
      </c>
      <c r="R58" s="148">
        <f>1.1*((((384*$H$14*100000)/(5*((((VLOOKUP(R$39,$I$7:$J$17,2))*$Q58)*R$38/2)+((($E$9*(1-0.088))+($E$21/$E$6))*((R$38/COS(R$39*PI()/180))/2))+$E$18)*$E$10))^(1/3))/100)</f>
        <v>6.8343515984925105</v>
      </c>
      <c r="S58" s="148">
        <f t="shared" ref="S58:AI62" si="7">1.1*((((384*$H$14*100000)/(5*((((VLOOKUP(S$39,$I$7:$J$17,2))*$Q58)*S$38/2)+((($E$9*(1-0.088))+($E$21/$E$6))*((S$38/COS(S$39*PI()/180))/2))+$E$18)*$E$10))^(1/3))/100)</f>
        <v>6.8229038952837895</v>
      </c>
      <c r="T58" s="148">
        <f t="shared" si="7"/>
        <v>6.4347240254422342</v>
      </c>
      <c r="U58" s="148">
        <f t="shared" si="7"/>
        <v>6.4234806713210064</v>
      </c>
      <c r="V58" s="148">
        <f t="shared" si="7"/>
        <v>6.1147151302873421</v>
      </c>
      <c r="W58" s="148">
        <f t="shared" si="7"/>
        <v>6.1037145068999825</v>
      </c>
      <c r="X58" s="148">
        <f t="shared" si="7"/>
        <v>5.8501516502163247</v>
      </c>
      <c r="Y58" s="148">
        <f t="shared" si="7"/>
        <v>5.8393995373554244</v>
      </c>
      <c r="Z58" s="148">
        <f t="shared" si="7"/>
        <v>5.6261445780220907</v>
      </c>
      <c r="AA58" s="148">
        <f t="shared" si="7"/>
        <v>5.6156338099975134</v>
      </c>
      <c r="AB58" s="148">
        <f t="shared" si="7"/>
        <v>5.4329301302337125</v>
      </c>
      <c r="AC58" s="148">
        <f t="shared" si="7"/>
        <v>5.4226485756947405</v>
      </c>
      <c r="AD58" s="148">
        <f t="shared" si="7"/>
        <v>5.2637899099935384</v>
      </c>
      <c r="AE58" s="148">
        <f t="shared" si="7"/>
        <v>5.2537239154360202</v>
      </c>
      <c r="AF58" s="148">
        <f t="shared" si="7"/>
        <v>5.1139212758473196</v>
      </c>
      <c r="AG58" s="148">
        <f t="shared" si="7"/>
        <v>5.1040571882790386</v>
      </c>
      <c r="AH58" s="148">
        <f t="shared" si="7"/>
        <v>4.9797829197607699</v>
      </c>
      <c r="AI58" s="148">
        <f t="shared" si="7"/>
        <v>4.9701077462467609</v>
      </c>
      <c r="AJ58" s="54"/>
    </row>
    <row r="59" spans="3:36" ht="18" customHeight="1" x14ac:dyDescent="0.3">
      <c r="C59" s="132"/>
      <c r="D59" s="131"/>
      <c r="E59" s="147"/>
      <c r="O59" s="54"/>
      <c r="P59" s="162"/>
      <c r="Q59" s="42">
        <v>55</v>
      </c>
      <c r="R59" s="149">
        <f t="shared" ref="R59:AG62" si="8">1.1*((((384*$H$14*100000)/(5*((((VLOOKUP(R$39,$I$7:$J$17,2))*$Q59)*R$38/2)+((($E$9*(1-0.088))+($E$21/$E$6))*((R$38/COS(R$39*PI()/180))/2))+$E$18)*$E$10))^(1/3))/100)</f>
        <v>6.5415968352200977</v>
      </c>
      <c r="S59" s="149">
        <f t="shared" si="8"/>
        <v>6.5319841856494376</v>
      </c>
      <c r="T59" s="149">
        <f t="shared" si="8"/>
        <v>6.1481857117394645</v>
      </c>
      <c r="U59" s="149">
        <f t="shared" si="8"/>
        <v>6.1388110030523739</v>
      </c>
      <c r="V59" s="149">
        <f t="shared" si="8"/>
        <v>5.835052021662734</v>
      </c>
      <c r="W59" s="149">
        <f t="shared" si="8"/>
        <v>5.8259256977904572</v>
      </c>
      <c r="X59" s="149">
        <f t="shared" si="8"/>
        <v>5.5773098572534874</v>
      </c>
      <c r="Y59" s="149">
        <f t="shared" si="8"/>
        <v>5.5684232226418828</v>
      </c>
      <c r="Z59" s="149">
        <f t="shared" si="8"/>
        <v>5.3598089847188684</v>
      </c>
      <c r="AA59" s="149">
        <f t="shared" si="8"/>
        <v>5.351147194499017</v>
      </c>
      <c r="AB59" s="149">
        <f t="shared" si="8"/>
        <v>5.1727009375833912</v>
      </c>
      <c r="AC59" s="149">
        <f t="shared" si="8"/>
        <v>5.1642478251255772</v>
      </c>
      <c r="AD59" s="149">
        <f t="shared" si="8"/>
        <v>5.0092551665362226</v>
      </c>
      <c r="AE59" s="149">
        <f t="shared" si="8"/>
        <v>5.0009950836721266</v>
      </c>
      <c r="AF59" s="149">
        <f t="shared" si="8"/>
        <v>4.8646866344533866</v>
      </c>
      <c r="AG59" s="149">
        <f t="shared" si="8"/>
        <v>4.8566051108937067</v>
      </c>
      <c r="AH59" s="149">
        <f t="shared" si="7"/>
        <v>4.7354828460557137</v>
      </c>
      <c r="AI59" s="149">
        <f t="shared" si="7"/>
        <v>4.7275667628335656</v>
      </c>
      <c r="AJ59" s="54"/>
    </row>
    <row r="60" spans="3:36" ht="18" customHeight="1" x14ac:dyDescent="0.3">
      <c r="C60" s="132"/>
      <c r="D60" s="131"/>
      <c r="E60" s="147"/>
      <c r="O60" s="54"/>
      <c r="P60" s="162"/>
      <c r="Q60" s="42">
        <v>65</v>
      </c>
      <c r="R60" s="149">
        <f t="shared" si="8"/>
        <v>6.2933234459678102</v>
      </c>
      <c r="S60" s="149">
        <f t="shared" si="7"/>
        <v>6.2850864662593953</v>
      </c>
      <c r="T60" s="149">
        <f t="shared" si="7"/>
        <v>5.9067055617876951</v>
      </c>
      <c r="U60" s="149">
        <f t="shared" si="7"/>
        <v>5.8987164030266763</v>
      </c>
      <c r="V60" s="149">
        <f t="shared" si="7"/>
        <v>5.6004149996998249</v>
      </c>
      <c r="W60" s="149">
        <f t="shared" si="7"/>
        <v>5.5926676163663895</v>
      </c>
      <c r="X60" s="149">
        <f t="shared" si="7"/>
        <v>5.3491574464550773</v>
      </c>
      <c r="Y60" s="149">
        <f t="shared" si="7"/>
        <v>5.3416352856513329</v>
      </c>
      <c r="Z60" s="149">
        <f t="shared" si="7"/>
        <v>5.1376718227063236</v>
      </c>
      <c r="AA60" s="149">
        <f t="shared" si="7"/>
        <v>5.1303563379873731</v>
      </c>
      <c r="AB60" s="149">
        <f t="shared" si="7"/>
        <v>4.9561039328863146</v>
      </c>
      <c r="AC60" s="149">
        <f t="shared" si="7"/>
        <v>4.9489773787068074</v>
      </c>
      <c r="AD60" s="149">
        <f t="shared" si="7"/>
        <v>4.7977542898684193</v>
      </c>
      <c r="AE60" s="149">
        <f t="shared" si="7"/>
        <v>4.7908005647640755</v>
      </c>
      <c r="AF60" s="149">
        <f t="shared" si="7"/>
        <v>4.6578797313787028</v>
      </c>
      <c r="AG60" s="149">
        <f t="shared" si="7"/>
        <v>4.651084519314816</v>
      </c>
      <c r="AH60" s="149">
        <f t="shared" si="7"/>
        <v>4.5330103460945272</v>
      </c>
      <c r="AI60" s="149">
        <f t="shared" si="7"/>
        <v>4.5263610087577888</v>
      </c>
      <c r="AJ60" s="54"/>
    </row>
    <row r="61" spans="3:36" ht="18" customHeight="1" x14ac:dyDescent="0.25">
      <c r="O61" s="54"/>
      <c r="P61" s="162"/>
      <c r="Q61" s="42">
        <v>90</v>
      </c>
      <c r="R61" s="149">
        <f t="shared" si="8"/>
        <v>5.8053140979234774</v>
      </c>
      <c r="S61" s="149">
        <f t="shared" si="7"/>
        <v>5.7993465620098599</v>
      </c>
      <c r="T61" s="149">
        <f t="shared" si="7"/>
        <v>5.4356579355510322</v>
      </c>
      <c r="U61" s="149">
        <f t="shared" si="7"/>
        <v>5.4299248640948354</v>
      </c>
      <c r="V61" s="149">
        <f t="shared" si="7"/>
        <v>5.1451653680128056</v>
      </c>
      <c r="W61" s="149">
        <f t="shared" si="7"/>
        <v>5.1396427975450472</v>
      </c>
      <c r="X61" s="149">
        <f t="shared" si="7"/>
        <v>4.9082470937949365</v>
      </c>
      <c r="Y61" s="149">
        <f t="shared" si="7"/>
        <v>4.9029114793074688</v>
      </c>
      <c r="Z61" s="149">
        <f t="shared" si="7"/>
        <v>4.7097009769794846</v>
      </c>
      <c r="AA61" s="149">
        <f t="shared" si="7"/>
        <v>4.704531639311055</v>
      </c>
      <c r="AB61" s="149">
        <f t="shared" si="7"/>
        <v>4.5398227186596092</v>
      </c>
      <c r="AC61" s="149">
        <f t="shared" si="7"/>
        <v>4.5348020400662019</v>
      </c>
      <c r="AD61" s="149">
        <f t="shared" si="7"/>
        <v>4.3920728557340967</v>
      </c>
      <c r="AE61" s="149">
        <f t="shared" si="7"/>
        <v>4.3871859202680481</v>
      </c>
      <c r="AF61" s="149">
        <f t="shared" si="7"/>
        <v>4.2618540279737855</v>
      </c>
      <c r="AG61" s="149">
        <f t="shared" si="7"/>
        <v>4.2570881757679846</v>
      </c>
      <c r="AH61" s="149">
        <f t="shared" si="7"/>
        <v>4.1458222632737858</v>
      </c>
      <c r="AI61" s="149">
        <f t="shared" si="7"/>
        <v>4.1411666866476455</v>
      </c>
      <c r="AJ61" s="54"/>
    </row>
    <row r="62" spans="3:36" ht="18" customHeight="1" x14ac:dyDescent="0.3">
      <c r="C62" s="38"/>
      <c r="D62" s="38"/>
      <c r="E62" s="129"/>
      <c r="O62" s="54"/>
      <c r="P62" s="163"/>
      <c r="Q62" s="144">
        <v>140</v>
      </c>
      <c r="R62" s="150">
        <f t="shared" si="8"/>
        <v>5.1527028243126143</v>
      </c>
      <c r="S62" s="150">
        <f t="shared" si="7"/>
        <v>5.1489968620221376</v>
      </c>
      <c r="T62" s="150">
        <f t="shared" si="7"/>
        <v>4.8120442232211671</v>
      </c>
      <c r="U62" s="150">
        <f t="shared" si="7"/>
        <v>4.8085206949607793</v>
      </c>
      <c r="V62" s="150">
        <f t="shared" si="7"/>
        <v>4.5466762282615907</v>
      </c>
      <c r="W62" s="150">
        <f t="shared" si="7"/>
        <v>4.543306391112143</v>
      </c>
      <c r="X62" s="150">
        <f t="shared" si="7"/>
        <v>4.3315912680216391</v>
      </c>
      <c r="Y62" s="150">
        <f t="shared" si="7"/>
        <v>4.3283526196319659</v>
      </c>
      <c r="Z62" s="150">
        <f t="shared" si="7"/>
        <v>4.1521779015314584</v>
      </c>
      <c r="AA62" s="150">
        <f t="shared" si="7"/>
        <v>4.1490527911227097</v>
      </c>
      <c r="AB62" s="150">
        <f t="shared" si="7"/>
        <v>3.9992220836896339</v>
      </c>
      <c r="AC62" s="150">
        <f t="shared" si="7"/>
        <v>3.9961964749308168</v>
      </c>
      <c r="AD62" s="150">
        <f t="shared" si="7"/>
        <v>3.8665725765934074</v>
      </c>
      <c r="AE62" s="150">
        <f t="shared" si="7"/>
        <v>3.8636351292168252</v>
      </c>
      <c r="AF62" s="150">
        <f t="shared" si="7"/>
        <v>3.7499369000525373</v>
      </c>
      <c r="AG62" s="150">
        <f t="shared" si="7"/>
        <v>3.7470783112135138</v>
      </c>
      <c r="AH62" s="150">
        <f t="shared" si="7"/>
        <v>3.6462115947671352</v>
      </c>
      <c r="AI62" s="150">
        <f t="shared" si="7"/>
        <v>3.6434241261267335</v>
      </c>
      <c r="AJ62" s="54"/>
    </row>
    <row r="63" spans="3:36" ht="18" hidden="1" customHeight="1" x14ac:dyDescent="0.3">
      <c r="C63" s="130">
        <v>5</v>
      </c>
      <c r="D63" s="141" t="s">
        <v>31</v>
      </c>
      <c r="E63" s="135">
        <f>(((384*$H$15*100000)/(5*$E32*E10))^(1/3))/100</f>
        <v>6.2650309688082348</v>
      </c>
      <c r="O63" s="54"/>
      <c r="P63" s="77" t="s">
        <v>60</v>
      </c>
      <c r="AJ63" s="54"/>
    </row>
    <row r="64" spans="3:36" ht="18" hidden="1" customHeight="1" x14ac:dyDescent="0.3">
      <c r="C64" s="130"/>
      <c r="D64" s="140" t="s">
        <v>52</v>
      </c>
      <c r="E64" s="146"/>
      <c r="O64" s="54"/>
      <c r="P64" s="182" t="s">
        <v>34</v>
      </c>
      <c r="Q64" s="41">
        <v>45</v>
      </c>
      <c r="R64" s="113">
        <f t="shared" ref="R64:AI64" si="9">(((384*$H$15*100000)/(5*((((VLOOKUP(R$39,$I$7:$J$17,2))*$Q52)*R$38/2)+((($E$9*(1-0.088))+($E$19/$E$6))*((R$38/COS(R$39*PI()/180))/2))+($E$16+(2*$E$17)))*$E$10))^(1/3))/100</f>
        <v>6.9136394849438565</v>
      </c>
      <c r="S64" s="119">
        <f t="shared" si="9"/>
        <v>6.9063792002292042</v>
      </c>
      <c r="T64" s="113">
        <f t="shared" si="9"/>
        <v>6.5591586773372343</v>
      </c>
      <c r="U64" s="114">
        <f t="shared" si="9"/>
        <v>6.5518073146078679</v>
      </c>
      <c r="V64" s="122">
        <f t="shared" si="9"/>
        <v>6.2677486821662622</v>
      </c>
      <c r="W64" s="119">
        <f t="shared" si="9"/>
        <v>6.2603941158138943</v>
      </c>
      <c r="X64" s="113">
        <f t="shared" si="9"/>
        <v>6.022070111555788</v>
      </c>
      <c r="Y64" s="114">
        <f t="shared" si="9"/>
        <v>6.014758630295125</v>
      </c>
      <c r="Z64" s="122">
        <f t="shared" si="9"/>
        <v>5.8108794006579307</v>
      </c>
      <c r="AA64" s="119">
        <f t="shared" si="9"/>
        <v>5.8036358197883935</v>
      </c>
      <c r="AB64" s="113">
        <f t="shared" si="9"/>
        <v>5.6265073982813272</v>
      </c>
      <c r="AC64" s="114">
        <f t="shared" si="9"/>
        <v>5.6193447941946841</v>
      </c>
      <c r="AD64" s="122">
        <f t="shared" si="9"/>
        <v>5.4635101952654104</v>
      </c>
      <c r="AE64" s="119">
        <f t="shared" si="9"/>
        <v>5.4564349620359849</v>
      </c>
      <c r="AF64" s="113">
        <f t="shared" si="9"/>
        <v>5.3178967015435763</v>
      </c>
      <c r="AG64" s="114">
        <f t="shared" si="9"/>
        <v>5.3109113245191768</v>
      </c>
      <c r="AH64" s="122">
        <f t="shared" si="9"/>
        <v>5.1866618380570468</v>
      </c>
      <c r="AI64" s="114">
        <f t="shared" si="9"/>
        <v>5.1797664812988886</v>
      </c>
      <c r="AJ64" s="54"/>
    </row>
    <row r="65" spans="3:36" ht="18" hidden="1" customHeight="1" x14ac:dyDescent="0.3">
      <c r="C65" s="130"/>
      <c r="D65" s="131"/>
      <c r="E65" s="146"/>
      <c r="O65" s="54"/>
      <c r="P65" s="183"/>
      <c r="Q65" s="42">
        <v>55</v>
      </c>
      <c r="R65" s="115">
        <f t="shared" ref="R65:AI65" si="10">(((384*$H$15*100000)/(5*((((VLOOKUP(R$39,$I$7:$J$17,2))*$Q53)*R$38/2)+((($E$9*(1-0.088))+($E$19/$E$6))*((R$38/COS(R$39*PI()/180))/2))+($E$16+(2*$E$17)))*$E$10))^(1/3))/100</f>
        <v>6.6383146768028203</v>
      </c>
      <c r="S65" s="120">
        <f t="shared" si="10"/>
        <v>6.6321421538761705</v>
      </c>
      <c r="T65" s="115">
        <f t="shared" si="10"/>
        <v>6.2817895668277899</v>
      </c>
      <c r="U65" s="116">
        <f t="shared" si="10"/>
        <v>6.2756033217385552</v>
      </c>
      <c r="V65" s="123">
        <f t="shared" si="10"/>
        <v>5.9912983974998362</v>
      </c>
      <c r="W65" s="120">
        <f t="shared" si="10"/>
        <v>5.9851562039265112</v>
      </c>
      <c r="X65" s="115">
        <f t="shared" si="10"/>
        <v>5.7480329461323239</v>
      </c>
      <c r="Y65" s="116">
        <f t="shared" si="10"/>
        <v>5.7419622769371763</v>
      </c>
      <c r="Z65" s="123">
        <f t="shared" si="10"/>
        <v>5.5400098216732179</v>
      </c>
      <c r="AA65" s="120">
        <f t="shared" si="10"/>
        <v>5.5340233300311183</v>
      </c>
      <c r="AB65" s="115">
        <f t="shared" si="10"/>
        <v>5.3591655693240048</v>
      </c>
      <c r="AC65" s="116">
        <f t="shared" si="10"/>
        <v>5.3532682557803755</v>
      </c>
      <c r="AD65" s="123">
        <f t="shared" si="10"/>
        <v>5.1998380278852689</v>
      </c>
      <c r="AE65" s="120">
        <f t="shared" si="10"/>
        <v>5.1940308114030493</v>
      </c>
      <c r="AF65" s="115">
        <f t="shared" si="10"/>
        <v>5.0579126216988985</v>
      </c>
      <c r="AG65" s="116">
        <f t="shared" si="10"/>
        <v>5.052194218920401</v>
      </c>
      <c r="AH65" s="123">
        <f t="shared" si="10"/>
        <v>4.9303139885318474</v>
      </c>
      <c r="AI65" s="116">
        <f t="shared" si="10"/>
        <v>4.9246819436114793</v>
      </c>
      <c r="AJ65" s="54"/>
    </row>
    <row r="66" spans="3:36" ht="18" hidden="1" customHeight="1" x14ac:dyDescent="0.3">
      <c r="C66" s="130"/>
      <c r="D66" s="131"/>
      <c r="E66" s="146"/>
      <c r="O66" s="54"/>
      <c r="P66" s="183"/>
      <c r="Q66" s="42">
        <v>65</v>
      </c>
      <c r="R66" s="115">
        <f t="shared" ref="R66:AI66" si="11">(((384*$H$15*100000)/(5*((((VLOOKUP(R$39,$I$7:$J$17,2))*$Q54)*R$38/2)+((($E$9*(1-0.088))+($E$19/$E$6))*((R$38/COS(R$39*PI()/180))/2))+($E$16+(2*$E$17)))*$E$10))^(1/3))/100</f>
        <v>6.4021916222411486</v>
      </c>
      <c r="S66" s="120">
        <f t="shared" si="11"/>
        <v>6.3968505413233245</v>
      </c>
      <c r="T66" s="115">
        <f t="shared" si="11"/>
        <v>6.0460845831582439</v>
      </c>
      <c r="U66" s="116">
        <f t="shared" si="11"/>
        <v>6.0407747224120945</v>
      </c>
      <c r="V66" s="123">
        <f t="shared" si="11"/>
        <v>5.7579545025231003</v>
      </c>
      <c r="W66" s="120">
        <f t="shared" si="11"/>
        <v>5.7527135212905884</v>
      </c>
      <c r="X66" s="115">
        <f t="shared" si="11"/>
        <v>5.5179200343095678</v>
      </c>
      <c r="Y66" s="116">
        <f t="shared" si="11"/>
        <v>5.5127633927282718</v>
      </c>
      <c r="Z66" s="123">
        <f t="shared" si="11"/>
        <v>5.3134863618500718</v>
      </c>
      <c r="AA66" s="120">
        <f t="shared" si="11"/>
        <v>5.3084192679621198</v>
      </c>
      <c r="AB66" s="115">
        <f t="shared" si="11"/>
        <v>5.1363335943484527</v>
      </c>
      <c r="AC66" s="116">
        <f t="shared" si="11"/>
        <v>5.1313563073422346</v>
      </c>
      <c r="AD66" s="123">
        <f t="shared" si="11"/>
        <v>4.9806677681071232</v>
      </c>
      <c r="AE66" s="120">
        <f t="shared" si="11"/>
        <v>4.9757781319577514</v>
      </c>
      <c r="AF66" s="115">
        <f t="shared" si="11"/>
        <v>4.8423067830447701</v>
      </c>
      <c r="AG66" s="116">
        <f t="shared" si="11"/>
        <v>4.8375015009153275</v>
      </c>
      <c r="AH66" s="123">
        <f t="shared" si="11"/>
        <v>4.7181421910060184</v>
      </c>
      <c r="AI66" s="116">
        <f t="shared" si="11"/>
        <v>4.7134174882540147</v>
      </c>
      <c r="AJ66" s="54"/>
    </row>
    <row r="67" spans="3:36" ht="18" hidden="1" customHeight="1" x14ac:dyDescent="0.25">
      <c r="P67" s="183"/>
      <c r="Q67" s="43">
        <v>90</v>
      </c>
      <c r="R67" s="117">
        <f t="shared" ref="R67:AI67" si="12">(((384*$H$15*100000)/(5*((((VLOOKUP(R$39,$I$7:$J$17,2))*$Q55)*R$38/2)+((($E$9*(1-0.088))+($E$19/$E$6))*((R$38/COS(R$39*PI()/180))/2))+($E$16+(2*$E$17)))*$E$10))^(1/3))/100</f>
        <v>5.9315918624920929</v>
      </c>
      <c r="S67" s="121">
        <f t="shared" si="12"/>
        <v>5.9276550220613959</v>
      </c>
      <c r="T67" s="117">
        <f t="shared" si="12"/>
        <v>5.5816225407663236</v>
      </c>
      <c r="U67" s="118">
        <f t="shared" si="12"/>
        <v>5.5777642877933955</v>
      </c>
      <c r="V67" s="124">
        <f t="shared" si="12"/>
        <v>5.3019141498184306</v>
      </c>
      <c r="W67" s="121">
        <f t="shared" si="12"/>
        <v>5.2981449968704446</v>
      </c>
      <c r="X67" s="117">
        <f t="shared" si="12"/>
        <v>5.0709918302454113</v>
      </c>
      <c r="Y67" s="118">
        <f t="shared" si="12"/>
        <v>5.0673120777284915</v>
      </c>
      <c r="Z67" s="124">
        <f t="shared" si="12"/>
        <v>4.8756774622310504</v>
      </c>
      <c r="AA67" s="121">
        <f t="shared" si="12"/>
        <v>4.8720835388062502</v>
      </c>
      <c r="AB67" s="117">
        <f t="shared" si="12"/>
        <v>4.707353253468721</v>
      </c>
      <c r="AC67" s="118">
        <f t="shared" si="12"/>
        <v>4.7038402331949314</v>
      </c>
      <c r="AD67" s="124">
        <f t="shared" si="12"/>
        <v>4.5601022459912386</v>
      </c>
      <c r="AE67" s="121">
        <f t="shared" si="12"/>
        <v>4.5566649036774178</v>
      </c>
      <c r="AF67" s="117">
        <f t="shared" si="12"/>
        <v>4.4297020956752533</v>
      </c>
      <c r="AG67" s="118">
        <f t="shared" si="12"/>
        <v>4.4263353540162607</v>
      </c>
      <c r="AH67" s="124">
        <f t="shared" si="12"/>
        <v>4.3130438559909781</v>
      </c>
      <c r="AI67" s="118">
        <f t="shared" si="12"/>
        <v>4.3097429650909422</v>
      </c>
    </row>
    <row r="68" spans="3:36" ht="18" hidden="1" customHeight="1" x14ac:dyDescent="0.3">
      <c r="C68" s="38"/>
      <c r="D68" s="38"/>
      <c r="E68" s="129"/>
      <c r="P68" s="183"/>
      <c r="Q68" s="137">
        <v>140</v>
      </c>
      <c r="R68" s="117">
        <f t="shared" ref="R68:AI68" si="13">(((384*$H$15*100000)/(5*((((VLOOKUP(R$39,$I$7:$J$17,2))*$Q56)*R$38/2)+((($E$9*(1-0.088))+($E$19/$E$6))*((R$38/COS(R$39*PI()/180))/2))+($E$16+(2*$E$17)))*$E$10))^(1/3))/100</f>
        <v>5.2904420958434946</v>
      </c>
      <c r="S68" s="117">
        <f t="shared" si="13"/>
        <v>5.2879498087948855</v>
      </c>
      <c r="T68" s="117">
        <f t="shared" si="13"/>
        <v>4.9584349738009976</v>
      </c>
      <c r="U68" s="117">
        <f t="shared" si="13"/>
        <v>4.9560311269941693</v>
      </c>
      <c r="V68" s="117">
        <f t="shared" si="13"/>
        <v>4.6966623277219801</v>
      </c>
      <c r="W68" s="117">
        <f t="shared" si="13"/>
        <v>4.6943403472751397</v>
      </c>
      <c r="X68" s="117">
        <f t="shared" si="13"/>
        <v>4.4826604072228626</v>
      </c>
      <c r="Y68" s="117">
        <f t="shared" si="13"/>
        <v>4.4804124647254113</v>
      </c>
      <c r="Z68" s="117">
        <f t="shared" si="13"/>
        <v>4.302999269806226</v>
      </c>
      <c r="AA68" s="117">
        <f t="shared" si="13"/>
        <v>4.3008179761260443</v>
      </c>
      <c r="AB68" s="117">
        <f t="shared" si="13"/>
        <v>4.1490657532480926</v>
      </c>
      <c r="AC68" s="117">
        <f t="shared" si="13"/>
        <v>4.1469445656051667</v>
      </c>
      <c r="AD68" s="117">
        <f t="shared" si="13"/>
        <v>4.0150347486943136</v>
      </c>
      <c r="AE68" s="117">
        <f t="shared" si="13"/>
        <v>4.0129679913404184</v>
      </c>
      <c r="AF68" s="117">
        <f t="shared" si="13"/>
        <v>3.896799360303413</v>
      </c>
      <c r="AG68" s="117">
        <f t="shared" si="13"/>
        <v>3.8947821341170812</v>
      </c>
      <c r="AH68" s="117">
        <f t="shared" si="13"/>
        <v>3.791365388453229</v>
      </c>
      <c r="AI68" s="117">
        <f t="shared" si="13"/>
        <v>3.7893934588207423</v>
      </c>
    </row>
    <row r="69" spans="3:36" ht="18" customHeight="1" x14ac:dyDescent="0.3">
      <c r="C69" s="130">
        <v>6</v>
      </c>
      <c r="D69" s="160" t="s">
        <v>55</v>
      </c>
      <c r="E69" s="135">
        <f>1.1*((((384*$H$15*100000)/(5*$E34*E10))^(1/3))/100)</f>
        <v>6.7716283441232026</v>
      </c>
      <c r="P69" s="77" t="s">
        <v>60</v>
      </c>
    </row>
    <row r="70" spans="3:36" ht="18" customHeight="1" x14ac:dyDescent="0.25">
      <c r="P70" s="161" t="s">
        <v>34</v>
      </c>
      <c r="Q70" s="41">
        <v>45</v>
      </c>
      <c r="R70" s="148">
        <f>1.1*((((384*$H$15*100000)/(5*((((VLOOKUP(R$39,$I$7:$J$17,2))*$Q58)*R$38/2)+((($E$9*(1-0.088))+($E$21/$E$6))*((R$38/COS(R$39*PI()/180))/2))+($E$16+(2*$E$17)))*$E$10))^(1/3))/100)</f>
        <v>7.4873505939873528</v>
      </c>
      <c r="S70" s="148">
        <f t="shared" ref="S70:AI74" si="14">1.1*((((384*$H$15*100000)/(5*((((VLOOKUP(S$39,$I$7:$J$17,2))*$Q58)*S$38/2)+((($E$9*(1-0.088))+($E$21/$E$6))*((S$38/COS(S$39*PI()/180))/2))+($E$16+(2*$E$17)))*$E$10))^(1/3))/100)</f>
        <v>7.4762901660536905</v>
      </c>
      <c r="T70" s="148">
        <f t="shared" si="14"/>
        <v>7.0961743207511541</v>
      </c>
      <c r="U70" s="148">
        <f t="shared" si="14"/>
        <v>7.085021514349922</v>
      </c>
      <c r="V70" s="148">
        <f t="shared" si="14"/>
        <v>6.7757411477000629</v>
      </c>
      <c r="W70" s="148">
        <f t="shared" si="14"/>
        <v>6.7646178227985789</v>
      </c>
      <c r="X70" s="148">
        <f t="shared" si="14"/>
        <v>6.5063206798004929</v>
      </c>
      <c r="Y70" s="148">
        <f t="shared" si="14"/>
        <v>6.4952888105717506</v>
      </c>
      <c r="Z70" s="148">
        <f t="shared" si="14"/>
        <v>6.2752087920073443</v>
      </c>
      <c r="AA70" s="148">
        <f t="shared" si="14"/>
        <v>6.2643000509665114</v>
      </c>
      <c r="AB70" s="148">
        <f t="shared" si="14"/>
        <v>6.0737873081894627</v>
      </c>
      <c r="AC70" s="148">
        <f t="shared" si="14"/>
        <v>6.0630171415119349</v>
      </c>
      <c r="AD70" s="148">
        <f t="shared" si="14"/>
        <v>5.895965293430935</v>
      </c>
      <c r="AE70" s="148">
        <f t="shared" si="14"/>
        <v>5.8853401178059173</v>
      </c>
      <c r="AF70" s="148">
        <f t="shared" si="14"/>
        <v>5.7372932071281619</v>
      </c>
      <c r="AG70" s="148">
        <f t="shared" si="14"/>
        <v>5.7268142970817326</v>
      </c>
      <c r="AH70" s="148">
        <f t="shared" si="14"/>
        <v>5.5944307266538083</v>
      </c>
      <c r="AI70" s="148">
        <f t="shared" si="14"/>
        <v>5.584096404722799</v>
      </c>
    </row>
    <row r="71" spans="3:36" ht="18" customHeight="1" x14ac:dyDescent="0.25">
      <c r="P71" s="162"/>
      <c r="Q71" s="42">
        <v>55</v>
      </c>
      <c r="R71" s="149">
        <f t="shared" ref="R71:AG74" si="15">1.1*((((384*$H$15*100000)/(5*((((VLOOKUP(R$39,$I$7:$J$17,2))*$Q59)*R$38/2)+((($E$9*(1-0.088))+($E$21/$E$6))*((R$38/COS(R$39*PI()/180))/2))+($E$16+(2*$E$17)))*$E$10))^(1/3))/100)</f>
        <v>7.2017916426564721</v>
      </c>
      <c r="S71" s="149">
        <f t="shared" si="15"/>
        <v>7.1923213667134984</v>
      </c>
      <c r="T71" s="149">
        <f t="shared" si="15"/>
        <v>6.8095417898272421</v>
      </c>
      <c r="U71" s="149">
        <f t="shared" si="15"/>
        <v>6.8000812194099316</v>
      </c>
      <c r="V71" s="149">
        <f t="shared" si="15"/>
        <v>6.4908263927734327</v>
      </c>
      <c r="W71" s="149">
        <f t="shared" si="15"/>
        <v>6.4814555285474089</v>
      </c>
      <c r="X71" s="149">
        <f t="shared" si="15"/>
        <v>6.2244771464322373</v>
      </c>
      <c r="Y71" s="149">
        <f t="shared" si="15"/>
        <v>6.2152322549525323</v>
      </c>
      <c r="Z71" s="149">
        <f t="shared" si="15"/>
        <v>5.9970801025589138</v>
      </c>
      <c r="AA71" s="149">
        <f t="shared" si="15"/>
        <v>5.9879765029884311</v>
      </c>
      <c r="AB71" s="149">
        <f t="shared" si="15"/>
        <v>5.7996467916730428</v>
      </c>
      <c r="AC71" s="149">
        <f t="shared" si="15"/>
        <v>5.7906892385838757</v>
      </c>
      <c r="AD71" s="149">
        <f t="shared" si="15"/>
        <v>5.6258863502058105</v>
      </c>
      <c r="AE71" s="149">
        <f t="shared" si="15"/>
        <v>5.6170741271145586</v>
      </c>
      <c r="AF71" s="149">
        <f t="shared" si="15"/>
        <v>5.4712396113795156</v>
      </c>
      <c r="AG71" s="149">
        <f t="shared" si="15"/>
        <v>5.4625691679580344</v>
      </c>
      <c r="AH71" s="149">
        <f t="shared" si="14"/>
        <v>5.3323065004203638</v>
      </c>
      <c r="AI71" s="149">
        <f t="shared" si="14"/>
        <v>5.3237728717510615</v>
      </c>
    </row>
    <row r="72" spans="3:36" ht="18" customHeight="1" x14ac:dyDescent="0.25">
      <c r="P72" s="162"/>
      <c r="Q72" s="42">
        <v>65</v>
      </c>
      <c r="R72" s="149">
        <f t="shared" si="15"/>
        <v>6.9553464517135559</v>
      </c>
      <c r="S72" s="149">
        <f t="shared" si="14"/>
        <v>6.9471052849265726</v>
      </c>
      <c r="T72" s="149">
        <f t="shared" si="14"/>
        <v>6.5642419202282278</v>
      </c>
      <c r="U72" s="149">
        <f t="shared" si="14"/>
        <v>6.5560702702618077</v>
      </c>
      <c r="V72" s="149">
        <f t="shared" si="14"/>
        <v>6.2484949671583268</v>
      </c>
      <c r="W72" s="149">
        <f t="shared" si="14"/>
        <v>6.2404445842104153</v>
      </c>
      <c r="X72" s="149">
        <f t="shared" si="14"/>
        <v>5.985884759643894</v>
      </c>
      <c r="Y72" s="149">
        <f t="shared" si="14"/>
        <v>5.9779753085844138</v>
      </c>
      <c r="Z72" s="149">
        <f t="shared" si="14"/>
        <v>5.7625064125670162</v>
      </c>
      <c r="AA72" s="149">
        <f t="shared" si="14"/>
        <v>5.754743082239365</v>
      </c>
      <c r="AB72" s="149">
        <f t="shared" si="14"/>
        <v>5.5691315412790701</v>
      </c>
      <c r="AC72" s="149">
        <f t="shared" si="14"/>
        <v>5.5615127393678723</v>
      </c>
      <c r="AD72" s="149">
        <f t="shared" si="14"/>
        <v>5.3993501555226944</v>
      </c>
      <c r="AE72" s="149">
        <f t="shared" si="14"/>
        <v>5.3918711245172846</v>
      </c>
      <c r="AF72" s="149">
        <f t="shared" si="14"/>
        <v>5.2485452044065797</v>
      </c>
      <c r="AG72" s="149">
        <f t="shared" si="14"/>
        <v>5.2411998063249126</v>
      </c>
      <c r="AH72" s="149">
        <f t="shared" si="14"/>
        <v>5.1132908963240089</v>
      </c>
      <c r="AI72" s="149">
        <f t="shared" si="14"/>
        <v>5.1060725197510051</v>
      </c>
    </row>
    <row r="73" spans="3:36" ht="18" customHeight="1" x14ac:dyDescent="0.25">
      <c r="P73" s="162"/>
      <c r="Q73" s="42">
        <v>90</v>
      </c>
      <c r="R73" s="149">
        <f t="shared" si="15"/>
        <v>6.460275051511065</v>
      </c>
      <c r="S73" s="149">
        <f t="shared" si="14"/>
        <v>6.4541385327899388</v>
      </c>
      <c r="T73" s="149">
        <f t="shared" si="14"/>
        <v>6.0766438830839462</v>
      </c>
      <c r="U73" s="149">
        <f t="shared" si="14"/>
        <v>6.0706397546077664</v>
      </c>
      <c r="V73" s="149">
        <f t="shared" si="14"/>
        <v>5.7704562291087305</v>
      </c>
      <c r="W73" s="149">
        <f t="shared" si="14"/>
        <v>5.7645976402438919</v>
      </c>
      <c r="X73" s="149">
        <f t="shared" si="14"/>
        <v>5.5179283888542914</v>
      </c>
      <c r="Y73" s="149">
        <f t="shared" si="14"/>
        <v>5.5122137902555863</v>
      </c>
      <c r="Z73" s="149">
        <f t="shared" si="14"/>
        <v>5.3045044146652129</v>
      </c>
      <c r="AA73" s="149">
        <f t="shared" si="14"/>
        <v>5.2989269229099891</v>
      </c>
      <c r="AB73" s="149">
        <f t="shared" si="14"/>
        <v>5.1206846035352847</v>
      </c>
      <c r="AC73" s="149">
        <f t="shared" si="14"/>
        <v>5.1152356474189027</v>
      </c>
      <c r="AD73" s="149">
        <f t="shared" si="14"/>
        <v>4.9599566992088748</v>
      </c>
      <c r="AE73" s="149">
        <f t="shared" si="14"/>
        <v>4.9546275087536085</v>
      </c>
      <c r="AF73" s="149">
        <f t="shared" si="14"/>
        <v>4.8176793976809069</v>
      </c>
      <c r="AG73" s="149">
        <f t="shared" si="14"/>
        <v>4.8124616090551378</v>
      </c>
      <c r="AH73" s="149">
        <f t="shared" si="14"/>
        <v>4.6904387978873805</v>
      </c>
      <c r="AI73" s="149">
        <f t="shared" si="14"/>
        <v>4.685324676608273</v>
      </c>
    </row>
    <row r="74" spans="3:36" ht="18" customHeight="1" x14ac:dyDescent="0.25">
      <c r="P74" s="163"/>
      <c r="Q74" s="151">
        <v>140</v>
      </c>
      <c r="R74" s="150">
        <f t="shared" si="15"/>
        <v>5.7784500975211897</v>
      </c>
      <c r="S74" s="150">
        <f t="shared" si="14"/>
        <v>5.7745200476207463</v>
      </c>
      <c r="T74" s="150">
        <f t="shared" si="14"/>
        <v>5.4147135447739636</v>
      </c>
      <c r="U74" s="150">
        <f t="shared" si="14"/>
        <v>5.4109260876242313</v>
      </c>
      <c r="V74" s="150">
        <f t="shared" si="14"/>
        <v>5.1281212616679808</v>
      </c>
      <c r="W74" s="150">
        <f t="shared" si="14"/>
        <v>5.1244649061655458</v>
      </c>
      <c r="X74" s="150">
        <f t="shared" si="14"/>
        <v>4.8939446991791788</v>
      </c>
      <c r="Y74" s="150">
        <f t="shared" si="14"/>
        <v>4.8904064402752265</v>
      </c>
      <c r="Z74" s="150">
        <f t="shared" si="14"/>
        <v>4.6974193459687283</v>
      </c>
      <c r="AA74" s="150">
        <f t="shared" si="14"/>
        <v>4.6939871191526281</v>
      </c>
      <c r="AB74" s="150">
        <f t="shared" si="14"/>
        <v>4.5290853431481315</v>
      </c>
      <c r="AC74" s="150">
        <f t="shared" si="14"/>
        <v>4.5257485606206425</v>
      </c>
      <c r="AD74" s="150">
        <f t="shared" si="14"/>
        <v>4.3825497623180052</v>
      </c>
      <c r="AE74" s="150">
        <f t="shared" si="14"/>
        <v>4.3792992897498868</v>
      </c>
      <c r="AF74" s="150">
        <f t="shared" si="14"/>
        <v>4.2533080695468568</v>
      </c>
      <c r="AG74" s="150">
        <f t="shared" si="14"/>
        <v>4.2501360520867593</v>
      </c>
      <c r="AH74" s="150">
        <f t="shared" si="14"/>
        <v>4.1380777609442676</v>
      </c>
      <c r="AI74" s="150">
        <f t="shared" si="14"/>
        <v>4.1349774277845839</v>
      </c>
    </row>
    <row r="75" spans="3:36" ht="18" customHeight="1" x14ac:dyDescent="0.25"/>
    <row r="76" spans="3:36" ht="20.100000000000001" customHeight="1" x14ac:dyDescent="0.25"/>
    <row r="77" spans="3:36" ht="20.100000000000001" customHeight="1" x14ac:dyDescent="0.25"/>
    <row r="78" spans="3:36" ht="20.100000000000001" customHeight="1" x14ac:dyDescent="0.25"/>
    <row r="79" spans="3:36" ht="20.100000000000001" customHeight="1" x14ac:dyDescent="0.25"/>
    <row r="80" spans="3:36" ht="20.100000000000001" customHeight="1" x14ac:dyDescent="0.25"/>
    <row r="81" ht="20.100000000000001" customHeight="1" x14ac:dyDescent="0.25"/>
  </sheetData>
  <sheetProtection algorithmName="SHA-512" hashValue="7MbjWbIZ2fRZboi0TzQMbrzX9LE3DPoutp0OaRiuFaDFbN1w4tJEGWRpqSVLqp/jILbTdDyeHiUG8LEqbiShVg==" saltValue="5FOpRJ2kDwohowjOkkxkEA==" spinCount="100000" sheet="1" objects="1" scenarios="1"/>
  <mergeCells count="21">
    <mergeCell ref="P64:P68"/>
    <mergeCell ref="P40:P44"/>
    <mergeCell ref="P46:P50"/>
    <mergeCell ref="P52:P56"/>
    <mergeCell ref="P38:Q38"/>
    <mergeCell ref="P70:P74"/>
    <mergeCell ref="B1:E1"/>
    <mergeCell ref="B2:E2"/>
    <mergeCell ref="I4:K4"/>
    <mergeCell ref="I5:K5"/>
    <mergeCell ref="I25:K25"/>
    <mergeCell ref="I26:K26"/>
    <mergeCell ref="C27:C28"/>
    <mergeCell ref="C31:C32"/>
    <mergeCell ref="C33:C34"/>
    <mergeCell ref="C29:C30"/>
    <mergeCell ref="C36:D36"/>
    <mergeCell ref="D37:E37"/>
    <mergeCell ref="C23:C24"/>
    <mergeCell ref="C25:C26"/>
    <mergeCell ref="P58:P62"/>
  </mergeCells>
  <conditionalFormatting sqref="E38:E56">
    <cfRule type="cellIs" dxfId="0" priority="1" stopIfTrue="1" operator="greaterThan">
      <formula>$E$36</formula>
    </cfRule>
  </conditionalFormatting>
  <pageMargins left="0.39370078740157483" right="0" top="0.39370078740157483" bottom="0" header="0" footer="0"/>
  <pageSetup paperSize="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PORTEE vitrage</vt:lpstr>
      <vt:lpstr>PORTEE plaque</vt:lpstr>
    </vt:vector>
  </TitlesOfParts>
  <Company>FLANDRIA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 COUSSENS</cp:lastModifiedBy>
  <cp:lastPrinted>2020-12-16T14:37:16Z</cp:lastPrinted>
  <dcterms:created xsi:type="dcterms:W3CDTF">2007-01-31T10:45:57Z</dcterms:created>
  <dcterms:modified xsi:type="dcterms:W3CDTF">2021-02-18T09:38:17Z</dcterms:modified>
</cp:coreProperties>
</file>