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andriaalu-my.sharepoint.com/personal/bcoussens_flandria_com/Documents/Documents/Documents_Bart/DONNEES TOITURES/VARIANT/INERTIES/CALCULS/CHEVRON/"/>
    </mc:Choice>
  </mc:AlternateContent>
  <xr:revisionPtr revIDLastSave="20" documentId="13_ncr:1_{C7F0A4DC-A0A1-4015-B9E5-EA9B93F85D58}" xr6:coauthVersionLast="46" xr6:coauthVersionMax="46" xr10:uidLastSave="{2466BF5B-2C2B-4227-A622-2ECFEF92C4BF}"/>
  <bookViews>
    <workbookView xWindow="-108" yWindow="-108" windowWidth="23256" windowHeight="12576" tabRatio="724" firstSheet="2" activeTab="2" xr2:uid="{00000000-000D-0000-FFFF-FFFF00000000}"/>
  </bookViews>
  <sheets>
    <sheet name="Chevron_renfort Alu 430752" sheetId="3" state="hidden" r:id="rId1"/>
    <sheet name="Chevron eco_renfort Alu 430752" sheetId="5" state="hidden" r:id="rId2"/>
    <sheet name="Chevron vitrage" sheetId="6" r:id="rId3"/>
    <sheet name="Chevron plaque" sheetId="11" r:id="rId4"/>
    <sheet name="Chevron eco(Fe 739026)" sheetId="7" state="hidden" r:id="rId5"/>
    <sheet name="Chevron+spot d35(Fe 739026)" sheetId="8" state="hidden" r:id="rId6"/>
    <sheet name="Chevron eco+spot d35(Fe 739026)" sheetId="9" state="hidden" r:id="rId7"/>
  </sheets>
  <definedNames>
    <definedName name="Appuis" localSheetId="4">#REF!</definedName>
    <definedName name="Appuis" localSheetId="6">#REF!</definedName>
    <definedName name="Appuis" localSheetId="3">#REF!</definedName>
    <definedName name="Appuis" localSheetId="2">#REF!</definedName>
    <definedName name="Appuis" localSheetId="5">#REF!</definedName>
    <definedName name="Appuis">#REF!</definedName>
    <definedName name="Coeff" localSheetId="4">#REF!</definedName>
    <definedName name="Coeff" localSheetId="6">#REF!</definedName>
    <definedName name="Coeff" localSheetId="3">#REF!</definedName>
    <definedName name="Coeff" localSheetId="2">#REF!</definedName>
    <definedName name="Coeff" localSheetId="5">#REF!</definedName>
    <definedName name="Coeff">#REF!</definedName>
    <definedName name="Coeff_Pente" localSheetId="4">#REF!</definedName>
    <definedName name="Coeff_Pente" localSheetId="6">#REF!</definedName>
    <definedName name="Coeff_Pente" localSheetId="3">#REF!</definedName>
    <definedName name="Coeff_Pente" localSheetId="2">#REF!</definedName>
    <definedName name="Coeff_Pente" localSheetId="5">#REF!</definedName>
    <definedName name="Coeff_Pente">#REF!</definedName>
    <definedName name="EIprofil" localSheetId="4">#REF!</definedName>
    <definedName name="EIprofil" localSheetId="6">#REF!</definedName>
    <definedName name="EIprofil" localSheetId="3">#REF!</definedName>
    <definedName name="EIprofil" localSheetId="2">#REF!</definedName>
    <definedName name="EIprofil" localSheetId="5">#REF!</definedName>
    <definedName name="EIprofil">#REF!</definedName>
    <definedName name="EItotal" localSheetId="4">#REF!</definedName>
    <definedName name="EItotal" localSheetId="6">#REF!</definedName>
    <definedName name="EItotal" localSheetId="3">#REF!</definedName>
    <definedName name="EItotal" localSheetId="2">#REF!</definedName>
    <definedName name="EItotal" localSheetId="5">#REF!</definedName>
    <definedName name="EItotal">#REF!</definedName>
    <definedName name="Eprofil" localSheetId="4">#REF!</definedName>
    <definedName name="Eprofil" localSheetId="6">#REF!</definedName>
    <definedName name="Eprofil" localSheetId="3">#REF!</definedName>
    <definedName name="Eprofil" localSheetId="2">#REF!</definedName>
    <definedName name="Eprofil" localSheetId="5">#REF!</definedName>
    <definedName name="Eprofil">#REF!</definedName>
    <definedName name="Erenfort" localSheetId="4">#REF!</definedName>
    <definedName name="Erenfort" localSheetId="6">#REF!</definedName>
    <definedName name="Erenfort" localSheetId="3">#REF!</definedName>
    <definedName name="Erenfort" localSheetId="2">#REF!</definedName>
    <definedName name="Erenfort" localSheetId="5">#REF!</definedName>
    <definedName name="Erenfort">#REF!</definedName>
    <definedName name="f_Acryl" localSheetId="4">#REF!</definedName>
    <definedName name="f_Acryl" localSheetId="6">#REF!</definedName>
    <definedName name="f_Acryl" localSheetId="3">#REF!</definedName>
    <definedName name="f_Acryl" localSheetId="2">#REF!</definedName>
    <definedName name="f_Acryl" localSheetId="5">#REF!</definedName>
    <definedName name="f_Acryl">#REF!</definedName>
    <definedName name="f_DV" localSheetId="4">#REF!</definedName>
    <definedName name="f_DV" localSheetId="6">#REF!</definedName>
    <definedName name="f_DV" localSheetId="3">#REF!</definedName>
    <definedName name="f_DV" localSheetId="2">#REF!</definedName>
    <definedName name="f_DV" localSheetId="5">#REF!</definedName>
    <definedName name="f_DV">#REF!</definedName>
    <definedName name="f_VF" localSheetId="4">#REF!</definedName>
    <definedName name="f_VF" localSheetId="6">#REF!</definedName>
    <definedName name="f_VF" localSheetId="3">#REF!</definedName>
    <definedName name="f_VF" localSheetId="2">#REF!</definedName>
    <definedName name="f_VF" localSheetId="5">#REF!</definedName>
    <definedName name="f_VF">#REF!</definedName>
    <definedName name="Iprofil" localSheetId="4">#REF!</definedName>
    <definedName name="Iprofil" localSheetId="6">#REF!</definedName>
    <definedName name="Iprofil" localSheetId="3">#REF!</definedName>
    <definedName name="Iprofil" localSheetId="2">#REF!</definedName>
    <definedName name="Iprofil" localSheetId="5">#REF!</definedName>
    <definedName name="Iprofil">#REF!</definedName>
    <definedName name="Irenfort" localSheetId="4">#REF!</definedName>
    <definedName name="Irenfort" localSheetId="6">#REF!</definedName>
    <definedName name="Irenfort" localSheetId="3">#REF!</definedName>
    <definedName name="Irenfort" localSheetId="2">#REF!</definedName>
    <definedName name="Irenfort" localSheetId="5">#REF!</definedName>
    <definedName name="Irenfort">#REF!</definedName>
    <definedName name="P_Acryl" localSheetId="4">#REF!</definedName>
    <definedName name="P_Acryl" localSheetId="6">#REF!</definedName>
    <definedName name="P_Acryl" localSheetId="3">#REF!</definedName>
    <definedName name="P_Acryl" localSheetId="2">#REF!</definedName>
    <definedName name="P_Acryl" localSheetId="5">#REF!</definedName>
    <definedName name="P_Acryl">#REF!</definedName>
    <definedName name="P_DV" localSheetId="4">#REF!</definedName>
    <definedName name="P_DV" localSheetId="6">#REF!</definedName>
    <definedName name="P_DV" localSheetId="3">#REF!</definedName>
    <definedName name="P_DV" localSheetId="2">#REF!</definedName>
    <definedName name="P_DV" localSheetId="5">#REF!</definedName>
    <definedName name="P_DV">#REF!</definedName>
    <definedName name="P_VF" localSheetId="4">#REF!</definedName>
    <definedName name="P_VF" localSheetId="6">#REF!</definedName>
    <definedName name="P_VF" localSheetId="3">#REF!</definedName>
    <definedName name="P_VF" localSheetId="2">#REF!</definedName>
    <definedName name="P_VF" localSheetId="5">#REF!</definedName>
    <definedName name="P_VF">#REF!</definedName>
    <definedName name="Pente" localSheetId="4">'Chevron eco(Fe 739026)'!$F$16:$F$21</definedName>
    <definedName name="Pente" localSheetId="1">'Chevron eco_renfort Alu 430752'!$E$16:$E$23</definedName>
    <definedName name="Pente" localSheetId="6">'Chevron eco+spot d35(Fe 739026)'!$F$16:$F$21</definedName>
    <definedName name="Pente" localSheetId="3">'Chevron plaque'!$F$16:$F$21</definedName>
    <definedName name="Pente" localSheetId="2">'Chevron vitrage'!$F$16:$F$21</definedName>
    <definedName name="Pente" localSheetId="5">'Chevron+spot d35(Fe 739026)'!$F$16:$F$21</definedName>
    <definedName name="Pente">'Chevron_renfort Alu 430752'!$E$16:$E$23</definedName>
    <definedName name="Pprofil" localSheetId="4">#REF!</definedName>
    <definedName name="Pprofil" localSheetId="6">#REF!</definedName>
    <definedName name="Pprofil" localSheetId="3">#REF!</definedName>
    <definedName name="Pprofil" localSheetId="2">#REF!</definedName>
    <definedName name="Pprofil" localSheetId="5">#REF!</definedName>
    <definedName name="Pprofil">#REF!</definedName>
    <definedName name="Prenfort" localSheetId="4">#REF!</definedName>
    <definedName name="Prenfort" localSheetId="6">#REF!</definedName>
    <definedName name="Prenfort" localSheetId="3">#REF!</definedName>
    <definedName name="Prenfort" localSheetId="2">#REF!</definedName>
    <definedName name="Prenfort" localSheetId="5">#REF!</definedName>
    <definedName name="Prenfort">#REF!</definedName>
    <definedName name="Profil" localSheetId="4">#REF!</definedName>
    <definedName name="Profil" localSheetId="6">#REF!</definedName>
    <definedName name="Profil" localSheetId="3">#REF!</definedName>
    <definedName name="Profil" localSheetId="2">#REF!</definedName>
    <definedName name="Profil" localSheetId="5">#REF!</definedName>
    <definedName name="Profil">#REF!</definedName>
    <definedName name="réduction" localSheetId="4">#REF!</definedName>
    <definedName name="réduction" localSheetId="6">#REF!</definedName>
    <definedName name="réduction" localSheetId="3">#REF!</definedName>
    <definedName name="réduction" localSheetId="2">#REF!</definedName>
    <definedName name="réduction" localSheetId="5">#REF!</definedName>
    <definedName name="réduction">#REF!</definedName>
    <definedName name="Rég.A" localSheetId="4">#REF!</definedName>
    <definedName name="Rég.A" localSheetId="6">#REF!</definedName>
    <definedName name="Rég.A" localSheetId="3">#REF!</definedName>
    <definedName name="Rég.A" localSheetId="2">#REF!</definedName>
    <definedName name="Rég.A" localSheetId="5">#REF!</definedName>
    <definedName name="Rég.A">#REF!</definedName>
    <definedName name="Rég.B" localSheetId="4">#REF!</definedName>
    <definedName name="Rég.B" localSheetId="6">#REF!</definedName>
    <definedName name="Rég.B" localSheetId="3">#REF!</definedName>
    <definedName name="Rég.B" localSheetId="2">#REF!</definedName>
    <definedName name="Rég.B" localSheetId="5">#REF!</definedName>
    <definedName name="Rég.B">#REF!</definedName>
    <definedName name="Rég.C" localSheetId="4">#REF!</definedName>
    <definedName name="Rég.C" localSheetId="6">#REF!</definedName>
    <definedName name="Rég.C" localSheetId="3">#REF!</definedName>
    <definedName name="Rég.C" localSheetId="2">#REF!</definedName>
    <definedName name="Rég.C" localSheetId="5">#REF!</definedName>
    <definedName name="Rég.C">#REF!</definedName>
    <definedName name="Rég.D" localSheetId="4">#REF!</definedName>
    <definedName name="Rég.D" localSheetId="6">#REF!</definedName>
    <definedName name="Rég.D" localSheetId="3">#REF!</definedName>
    <definedName name="Rég.D" localSheetId="2">#REF!</definedName>
    <definedName name="Rég.D" localSheetId="5">#REF!</definedName>
    <definedName name="Rég.D">#REF!</definedName>
    <definedName name="résultant" localSheetId="4">#REF!</definedName>
    <definedName name="résultant" localSheetId="6">#REF!</definedName>
    <definedName name="résultant" localSheetId="3">#REF!</definedName>
    <definedName name="résultant" localSheetId="2">#REF!</definedName>
    <definedName name="résultant" localSheetId="5">#REF!</definedName>
    <definedName name="résulta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6" l="1"/>
  <c r="G21" i="6"/>
  <c r="K21" i="6"/>
  <c r="L21" i="6"/>
  <c r="M21" i="6"/>
  <c r="O21" i="6"/>
  <c r="P21" i="6"/>
  <c r="Q21" i="6"/>
  <c r="R21" i="6"/>
  <c r="S21" i="6"/>
  <c r="T21" i="6"/>
  <c r="V21" i="6"/>
  <c r="W21" i="6"/>
  <c r="X21" i="6"/>
  <c r="AF17" i="11"/>
  <c r="AG17" i="11"/>
  <c r="AH17" i="11"/>
  <c r="AI17" i="11"/>
  <c r="AK17" i="11"/>
  <c r="AF18" i="11"/>
  <c r="AG18" i="11"/>
  <c r="AH18" i="11"/>
  <c r="AI18" i="11"/>
  <c r="AK18" i="11"/>
  <c r="AF19" i="11"/>
  <c r="AG19" i="11"/>
  <c r="AH19" i="11"/>
  <c r="AI19" i="11"/>
  <c r="AK19" i="11"/>
  <c r="AF20" i="11"/>
  <c r="AG20" i="11"/>
  <c r="AH20" i="11"/>
  <c r="AI20" i="11"/>
  <c r="AK20" i="11"/>
  <c r="AF21" i="11"/>
  <c r="AG21" i="11"/>
  <c r="AH21" i="11"/>
  <c r="AI21" i="11"/>
  <c r="AK21" i="11"/>
  <c r="AF11" i="11"/>
  <c r="AG11" i="11"/>
  <c r="AH11" i="11"/>
  <c r="AI11" i="11"/>
  <c r="AK11" i="11"/>
  <c r="AF12" i="11"/>
  <c r="AG12" i="11"/>
  <c r="AH12" i="11"/>
  <c r="AI12" i="11"/>
  <c r="AK12" i="11"/>
  <c r="AF13" i="11"/>
  <c r="AG13" i="11"/>
  <c r="AH13" i="11"/>
  <c r="AI13" i="11"/>
  <c r="AK13" i="11"/>
  <c r="AF14" i="11"/>
  <c r="AG14" i="11"/>
  <c r="AH14" i="11"/>
  <c r="AI14" i="11"/>
  <c r="AK14" i="11"/>
  <c r="AF15" i="11"/>
  <c r="AG15" i="11"/>
  <c r="AH15" i="11"/>
  <c r="AI15" i="11"/>
  <c r="AK15" i="11"/>
  <c r="P17" i="6"/>
  <c r="Q17" i="6"/>
  <c r="R17" i="6"/>
  <c r="S17" i="6"/>
  <c r="P18" i="6"/>
  <c r="Q18" i="6"/>
  <c r="R18" i="6"/>
  <c r="S18" i="6"/>
  <c r="P19" i="6"/>
  <c r="Q19" i="6"/>
  <c r="R19" i="6"/>
  <c r="S19" i="6"/>
  <c r="P20" i="6"/>
  <c r="Q20" i="6"/>
  <c r="R20" i="6"/>
  <c r="S20" i="6"/>
  <c r="P11" i="6"/>
  <c r="Q11" i="6"/>
  <c r="R11" i="6"/>
  <c r="S11" i="6"/>
  <c r="P12" i="6"/>
  <c r="Q12" i="6"/>
  <c r="R12" i="6"/>
  <c r="S12" i="6"/>
  <c r="P13" i="6"/>
  <c r="Q13" i="6"/>
  <c r="R13" i="6"/>
  <c r="S13" i="6"/>
  <c r="P14" i="6"/>
  <c r="Q14" i="6"/>
  <c r="R14" i="6"/>
  <c r="S14" i="6"/>
  <c r="P15" i="6"/>
  <c r="Q15" i="6"/>
  <c r="R15" i="6"/>
  <c r="S15" i="6"/>
  <c r="K17" i="6" l="1"/>
  <c r="L44" i="11"/>
  <c r="T44" i="11" s="1"/>
  <c r="N44" i="11"/>
  <c r="L45" i="11"/>
  <c r="N45" i="11"/>
  <c r="T45" i="11"/>
  <c r="L46" i="11"/>
  <c r="T46" i="11" s="1"/>
  <c r="N46" i="11"/>
  <c r="L47" i="11"/>
  <c r="T47" i="11" s="1"/>
  <c r="N47" i="11"/>
  <c r="V47" i="11"/>
  <c r="L51" i="11"/>
  <c r="T51" i="11" s="1"/>
  <c r="N51" i="11"/>
  <c r="L52" i="11"/>
  <c r="T52" i="11" s="1"/>
  <c r="N52" i="11"/>
  <c r="L53" i="11"/>
  <c r="N53" i="11"/>
  <c r="T53" i="11"/>
  <c r="L54" i="11"/>
  <c r="T54" i="11" s="1"/>
  <c r="N54" i="11"/>
  <c r="V54" i="11"/>
  <c r="W11" i="11"/>
  <c r="X11" i="11"/>
  <c r="Y11" i="11"/>
  <c r="AA11" i="11"/>
  <c r="AB11" i="11"/>
  <c r="AC11" i="11"/>
  <c r="AE11" i="11"/>
  <c r="AL11" i="11"/>
  <c r="AM11" i="11"/>
  <c r="AN11" i="11"/>
  <c r="W12" i="11"/>
  <c r="X12" i="11"/>
  <c r="Y12" i="11"/>
  <c r="AA12" i="11"/>
  <c r="AB12" i="11"/>
  <c r="AC12" i="11"/>
  <c r="AE12" i="11"/>
  <c r="AL12" i="11"/>
  <c r="AM12" i="11"/>
  <c r="AN12" i="11"/>
  <c r="W13" i="11"/>
  <c r="X13" i="11"/>
  <c r="Y13" i="11"/>
  <c r="AA13" i="11"/>
  <c r="AB13" i="11"/>
  <c r="AC13" i="11"/>
  <c r="AE13" i="11"/>
  <c r="AL13" i="11"/>
  <c r="AM13" i="11"/>
  <c r="AN13" i="11"/>
  <c r="W14" i="11"/>
  <c r="X14" i="11"/>
  <c r="Y14" i="11"/>
  <c r="AA14" i="11"/>
  <c r="AB14" i="11"/>
  <c r="AC14" i="11"/>
  <c r="AE14" i="11"/>
  <c r="AL14" i="11"/>
  <c r="AM14" i="11"/>
  <c r="AN14" i="11"/>
  <c r="W15" i="11"/>
  <c r="X15" i="11"/>
  <c r="Y15" i="11"/>
  <c r="AA15" i="11"/>
  <c r="AB15" i="11"/>
  <c r="AC15" i="11"/>
  <c r="AE15" i="11"/>
  <c r="AL15" i="11"/>
  <c r="AM15" i="11"/>
  <c r="AN15" i="11"/>
  <c r="G27" i="11" l="1"/>
  <c r="G26" i="11"/>
  <c r="G25" i="11"/>
  <c r="G24" i="11"/>
  <c r="G23" i="11"/>
  <c r="G22" i="11"/>
  <c r="AN21" i="11"/>
  <c r="AM21" i="11"/>
  <c r="AL21" i="11"/>
  <c r="AE21" i="11"/>
  <c r="AC21" i="11"/>
  <c r="AB21" i="11"/>
  <c r="AA21" i="11"/>
  <c r="Z21" i="11"/>
  <c r="Y21" i="11"/>
  <c r="X21" i="11"/>
  <c r="W21" i="11"/>
  <c r="G21" i="11"/>
  <c r="AN20" i="11"/>
  <c r="AM20" i="11"/>
  <c r="AL20" i="11"/>
  <c r="AE20" i="11"/>
  <c r="AC20" i="11"/>
  <c r="AB20" i="11"/>
  <c r="AA20" i="11"/>
  <c r="Y20" i="11"/>
  <c r="X20" i="11"/>
  <c r="W20" i="11"/>
  <c r="AN19" i="11"/>
  <c r="AM19" i="11"/>
  <c r="AL19" i="11"/>
  <c r="AE19" i="11"/>
  <c r="AC19" i="11"/>
  <c r="AB19" i="11"/>
  <c r="AA19" i="11"/>
  <c r="Y19" i="11"/>
  <c r="X19" i="11"/>
  <c r="W19" i="11"/>
  <c r="AN18" i="11"/>
  <c r="AM18" i="11"/>
  <c r="AL18" i="11"/>
  <c r="AE18" i="11"/>
  <c r="AC18" i="11"/>
  <c r="AB18" i="11"/>
  <c r="AA18" i="11"/>
  <c r="Y18" i="11"/>
  <c r="X18" i="11"/>
  <c r="W18" i="11"/>
  <c r="AN17" i="11"/>
  <c r="AM17" i="11"/>
  <c r="AL17" i="11"/>
  <c r="AE17" i="11"/>
  <c r="AC17" i="11"/>
  <c r="AB17" i="11"/>
  <c r="AA17" i="11"/>
  <c r="Y17" i="11"/>
  <c r="X17" i="11"/>
  <c r="W17" i="11"/>
  <c r="AJ19" i="11" l="1"/>
  <c r="AJ12" i="11"/>
  <c r="AJ20" i="11"/>
  <c r="AJ18" i="11"/>
  <c r="AJ11" i="11"/>
  <c r="AJ15" i="11"/>
  <c r="AJ17" i="11"/>
  <c r="AJ21" i="11"/>
  <c r="AJ14" i="11"/>
  <c r="AJ13" i="11"/>
  <c r="C25" i="11"/>
  <c r="C26" i="11" s="1"/>
  <c r="D25" i="11"/>
  <c r="D26" i="11" s="1"/>
  <c r="AD17" i="11"/>
  <c r="AO17" i="11"/>
  <c r="AD18" i="11"/>
  <c r="AO18" i="11"/>
  <c r="AD19" i="11"/>
  <c r="AO19" i="11"/>
  <c r="AD20" i="11"/>
  <c r="AO20" i="11"/>
  <c r="AO21" i="11"/>
  <c r="AD21" i="11"/>
  <c r="Z17" i="11"/>
  <c r="Z18" i="11"/>
  <c r="Z19" i="11"/>
  <c r="Z20" i="11"/>
  <c r="Z11" i="11"/>
  <c r="Z12" i="11"/>
  <c r="Z13" i="11"/>
  <c r="Z14" i="11"/>
  <c r="Z15" i="11"/>
  <c r="AD11" i="11"/>
  <c r="AO11" i="11"/>
  <c r="AD12" i="11"/>
  <c r="AO12" i="11"/>
  <c r="AD13" i="11"/>
  <c r="AO13" i="11"/>
  <c r="AD14" i="11"/>
  <c r="AO14" i="11"/>
  <c r="AD15" i="11"/>
  <c r="AO15" i="11"/>
  <c r="K12" i="6"/>
  <c r="K15" i="6"/>
  <c r="L15" i="6"/>
  <c r="M15" i="6"/>
  <c r="O15" i="6"/>
  <c r="V15" i="6"/>
  <c r="W15" i="6"/>
  <c r="X15" i="6"/>
  <c r="L20" i="6"/>
  <c r="M20" i="6"/>
  <c r="O20" i="6"/>
  <c r="V20" i="6"/>
  <c r="W20" i="6"/>
  <c r="X20" i="6"/>
  <c r="L19" i="6"/>
  <c r="M19" i="6"/>
  <c r="O19" i="6"/>
  <c r="V19" i="6"/>
  <c r="W19" i="6"/>
  <c r="X19" i="6"/>
  <c r="L18" i="6"/>
  <c r="M18" i="6"/>
  <c r="O18" i="6"/>
  <c r="V18" i="6"/>
  <c r="W18" i="6"/>
  <c r="X18" i="6"/>
  <c r="L17" i="6"/>
  <c r="M17" i="6"/>
  <c r="O17" i="6"/>
  <c r="V17" i="6"/>
  <c r="W17" i="6"/>
  <c r="X17" i="6"/>
  <c r="K18" i="6"/>
  <c r="K19" i="6"/>
  <c r="K20" i="6"/>
  <c r="L14" i="6"/>
  <c r="M14" i="6"/>
  <c r="O14" i="6"/>
  <c r="V14" i="6"/>
  <c r="W14" i="6"/>
  <c r="X14" i="6"/>
  <c r="L13" i="6"/>
  <c r="M13" i="6"/>
  <c r="O13" i="6"/>
  <c r="V13" i="6"/>
  <c r="W13" i="6"/>
  <c r="X13" i="6"/>
  <c r="L12" i="6"/>
  <c r="M12" i="6"/>
  <c r="O12" i="6"/>
  <c r="V12" i="6"/>
  <c r="W12" i="6"/>
  <c r="X12" i="6"/>
  <c r="K13" i="6"/>
  <c r="K14" i="6"/>
  <c r="L11" i="6"/>
  <c r="M11" i="6"/>
  <c r="O11" i="6"/>
  <c r="V11" i="6"/>
  <c r="W11" i="6"/>
  <c r="X11" i="6"/>
  <c r="Y54" i="6"/>
  <c r="Y47" i="6"/>
  <c r="N52" i="6"/>
  <c r="N53" i="6"/>
  <c r="N54" i="6"/>
  <c r="N51" i="6"/>
  <c r="N45" i="6"/>
  <c r="N46" i="6"/>
  <c r="N47" i="6"/>
  <c r="N44" i="6"/>
  <c r="L54" i="6"/>
  <c r="W54" i="6" s="1"/>
  <c r="L53" i="6"/>
  <c r="W53" i="6" s="1"/>
  <c r="L52" i="6"/>
  <c r="W52" i="6" s="1"/>
  <c r="L51" i="6"/>
  <c r="W51" i="6" s="1"/>
  <c r="L47" i="6"/>
  <c r="W47" i="6" s="1"/>
  <c r="L46" i="6"/>
  <c r="W46" i="6" s="1"/>
  <c r="L45" i="6"/>
  <c r="W45" i="6" s="1"/>
  <c r="L44" i="6"/>
  <c r="W44" i="6" s="1"/>
  <c r="L36" i="7" l="1"/>
  <c r="M36" i="7"/>
  <c r="O36" i="7"/>
  <c r="P36" i="7"/>
  <c r="Q36" i="7"/>
  <c r="S36" i="7"/>
  <c r="T36" i="7"/>
  <c r="U36" i="7"/>
  <c r="W36" i="7"/>
  <c r="X36" i="7"/>
  <c r="Y36" i="7"/>
  <c r="L37" i="7"/>
  <c r="M37" i="7"/>
  <c r="O37" i="7"/>
  <c r="P37" i="7"/>
  <c r="Q37" i="7"/>
  <c r="S37" i="7"/>
  <c r="T37" i="7"/>
  <c r="U37" i="7"/>
  <c r="W37" i="7"/>
  <c r="X37" i="7"/>
  <c r="Y37" i="7"/>
  <c r="L38" i="7"/>
  <c r="M38" i="7"/>
  <c r="O38" i="7"/>
  <c r="P38" i="7"/>
  <c r="Q38" i="7"/>
  <c r="S38" i="7"/>
  <c r="T38" i="7"/>
  <c r="U38" i="7"/>
  <c r="W38" i="7"/>
  <c r="X38" i="7"/>
  <c r="Y38" i="7"/>
  <c r="L39" i="7"/>
  <c r="M39" i="7"/>
  <c r="O39" i="7"/>
  <c r="P39" i="7"/>
  <c r="Q39" i="7"/>
  <c r="S39" i="7"/>
  <c r="T39" i="7"/>
  <c r="U39" i="7"/>
  <c r="W39" i="7"/>
  <c r="X39" i="7"/>
  <c r="Y39" i="7"/>
  <c r="K37" i="7"/>
  <c r="K38" i="7"/>
  <c r="K39" i="7"/>
  <c r="K36" i="7"/>
  <c r="L31" i="7"/>
  <c r="M31" i="7"/>
  <c r="O31" i="7"/>
  <c r="P31" i="7"/>
  <c r="Q31" i="7"/>
  <c r="S31" i="7"/>
  <c r="T31" i="7"/>
  <c r="U31" i="7"/>
  <c r="W31" i="7"/>
  <c r="X31" i="7"/>
  <c r="Y31" i="7"/>
  <c r="L32" i="7"/>
  <c r="M32" i="7"/>
  <c r="O32" i="7"/>
  <c r="P32" i="7"/>
  <c r="Q32" i="7"/>
  <c r="S32" i="7"/>
  <c r="T32" i="7"/>
  <c r="U32" i="7"/>
  <c r="W32" i="7"/>
  <c r="X32" i="7"/>
  <c r="Y32" i="7"/>
  <c r="L33" i="7"/>
  <c r="M33" i="7"/>
  <c r="O33" i="7"/>
  <c r="P33" i="7"/>
  <c r="Q33" i="7"/>
  <c r="S33" i="7"/>
  <c r="T33" i="7"/>
  <c r="U33" i="7"/>
  <c r="W33" i="7"/>
  <c r="X33" i="7"/>
  <c r="Y33" i="7"/>
  <c r="L34" i="7"/>
  <c r="M34" i="7"/>
  <c r="O34" i="7"/>
  <c r="P34" i="7"/>
  <c r="Q34" i="7"/>
  <c r="S34" i="7"/>
  <c r="T34" i="7"/>
  <c r="U34" i="7"/>
  <c r="W34" i="7"/>
  <c r="X34" i="7"/>
  <c r="Y34" i="7"/>
  <c r="K32" i="7"/>
  <c r="K33" i="7"/>
  <c r="K34" i="7"/>
  <c r="K31" i="7"/>
  <c r="L23" i="7"/>
  <c r="M23" i="7"/>
  <c r="O23" i="7"/>
  <c r="P23" i="7"/>
  <c r="Q23" i="7"/>
  <c r="S23" i="7"/>
  <c r="T23" i="7"/>
  <c r="U23" i="7"/>
  <c r="L24" i="7"/>
  <c r="M24" i="7"/>
  <c r="O24" i="7"/>
  <c r="P24" i="7"/>
  <c r="Q24" i="7"/>
  <c r="S24" i="7"/>
  <c r="T24" i="7"/>
  <c r="U24" i="7"/>
  <c r="L25" i="7"/>
  <c r="M25" i="7"/>
  <c r="O25" i="7"/>
  <c r="P25" i="7"/>
  <c r="Q25" i="7"/>
  <c r="S25" i="7"/>
  <c r="T25" i="7"/>
  <c r="U25" i="7"/>
  <c r="L26" i="7"/>
  <c r="M26" i="7"/>
  <c r="O26" i="7"/>
  <c r="P26" i="7"/>
  <c r="Q26" i="7"/>
  <c r="S26" i="7"/>
  <c r="T26" i="7"/>
  <c r="U26" i="7"/>
  <c r="K24" i="7"/>
  <c r="K25" i="7"/>
  <c r="K26" i="7"/>
  <c r="K23" i="7"/>
  <c r="L18" i="7"/>
  <c r="M18" i="7"/>
  <c r="O18" i="7"/>
  <c r="P18" i="7"/>
  <c r="Q18" i="7"/>
  <c r="S18" i="7"/>
  <c r="T18" i="7"/>
  <c r="U18" i="7"/>
  <c r="L19" i="7"/>
  <c r="M19" i="7"/>
  <c r="O19" i="7"/>
  <c r="P19" i="7"/>
  <c r="Q19" i="7"/>
  <c r="S19" i="7"/>
  <c r="T19" i="7"/>
  <c r="U19" i="7"/>
  <c r="L20" i="7"/>
  <c r="M20" i="7"/>
  <c r="O20" i="7"/>
  <c r="P20" i="7"/>
  <c r="Q20" i="7"/>
  <c r="S20" i="7"/>
  <c r="T20" i="7"/>
  <c r="U20" i="7"/>
  <c r="L21" i="7"/>
  <c r="M21" i="7"/>
  <c r="O21" i="7"/>
  <c r="P21" i="7"/>
  <c r="Q21" i="7"/>
  <c r="S21" i="7"/>
  <c r="T21" i="7"/>
  <c r="U21" i="7"/>
  <c r="K19" i="7"/>
  <c r="K20" i="7"/>
  <c r="K21" i="7"/>
  <c r="K18" i="7"/>
  <c r="G27" i="9" l="1"/>
  <c r="G27" i="8"/>
  <c r="D25" i="8" l="1"/>
  <c r="C25" i="8"/>
  <c r="D25" i="9"/>
  <c r="C25" i="9"/>
  <c r="G22" i="6"/>
  <c r="G23" i="6"/>
  <c r="G24" i="6"/>
  <c r="G25" i="6"/>
  <c r="G26" i="6"/>
  <c r="G22" i="9"/>
  <c r="G23" i="9"/>
  <c r="G24" i="9"/>
  <c r="G25" i="9"/>
  <c r="G26" i="9"/>
  <c r="G21" i="9"/>
  <c r="G22" i="8"/>
  <c r="G23" i="8"/>
  <c r="G24" i="8"/>
  <c r="G25" i="8"/>
  <c r="G26" i="8"/>
  <c r="G21" i="8"/>
  <c r="G22" i="7"/>
  <c r="G23" i="7"/>
  <c r="G24" i="7"/>
  <c r="G25" i="7"/>
  <c r="G26" i="7"/>
  <c r="G21" i="7"/>
  <c r="U21" i="6" l="1"/>
  <c r="N21" i="6"/>
  <c r="Y21" i="6"/>
  <c r="U19" i="6"/>
  <c r="U13" i="6"/>
  <c r="U18" i="6"/>
  <c r="U20" i="6"/>
  <c r="U17" i="6"/>
  <c r="U15" i="6"/>
  <c r="U11" i="6"/>
  <c r="U12" i="6"/>
  <c r="U14" i="6"/>
  <c r="G27" i="6"/>
  <c r="D25" i="6" s="1"/>
  <c r="D26" i="6" s="1"/>
  <c r="T20" i="6"/>
  <c r="T13" i="6"/>
  <c r="T14" i="6"/>
  <c r="T17" i="6"/>
  <c r="T19" i="6"/>
  <c r="T12" i="6"/>
  <c r="T18" i="6"/>
  <c r="T11" i="6"/>
  <c r="T15" i="6"/>
  <c r="N18" i="6"/>
  <c r="Y18" i="6"/>
  <c r="Y12" i="6"/>
  <c r="N20" i="6"/>
  <c r="Y20" i="6"/>
  <c r="N14" i="6"/>
  <c r="Y14" i="6"/>
  <c r="N17" i="6"/>
  <c r="Y17" i="6"/>
  <c r="N11" i="6"/>
  <c r="Y13" i="6"/>
  <c r="N19" i="6"/>
  <c r="Y19" i="6"/>
  <c r="N13" i="6"/>
  <c r="N15" i="6"/>
  <c r="Y15" i="6"/>
  <c r="N12" i="6"/>
  <c r="Y11" i="6"/>
  <c r="N36" i="7"/>
  <c r="V36" i="7"/>
  <c r="N31" i="7"/>
  <c r="V31" i="7"/>
  <c r="N23" i="7"/>
  <c r="V23" i="7"/>
  <c r="N18" i="7"/>
  <c r="V18" i="7"/>
  <c r="R34" i="7"/>
  <c r="Z34" i="7"/>
  <c r="N26" i="7"/>
  <c r="V26" i="7"/>
  <c r="V21" i="7"/>
  <c r="R39" i="7"/>
  <c r="Z39" i="7"/>
  <c r="N21" i="7"/>
  <c r="R38" i="7"/>
  <c r="Z38" i="7"/>
  <c r="R33" i="7"/>
  <c r="Z33" i="7"/>
  <c r="R25" i="7"/>
  <c r="R20" i="7"/>
  <c r="V20" i="7"/>
  <c r="N37" i="7"/>
  <c r="R37" i="7"/>
  <c r="Z37" i="7"/>
  <c r="R32" i="7"/>
  <c r="Z32" i="7"/>
  <c r="N24" i="7"/>
  <c r="V24" i="7"/>
  <c r="N19" i="7"/>
  <c r="V19" i="7"/>
  <c r="V33" i="7"/>
  <c r="V25" i="7"/>
  <c r="V37" i="7"/>
  <c r="N32" i="7"/>
  <c r="V32" i="7"/>
  <c r="R36" i="7"/>
  <c r="Z36" i="7"/>
  <c r="R31" i="7"/>
  <c r="Z31" i="7"/>
  <c r="R23" i="7"/>
  <c r="R18" i="7"/>
  <c r="N39" i="7"/>
  <c r="V39" i="7"/>
  <c r="N34" i="7"/>
  <c r="V34" i="7"/>
  <c r="R26" i="7"/>
  <c r="R21" i="7"/>
  <c r="N38" i="7"/>
  <c r="V38" i="7"/>
  <c r="N33" i="7"/>
  <c r="N25" i="7"/>
  <c r="N20" i="7"/>
  <c r="R24" i="7"/>
  <c r="R19" i="7"/>
  <c r="G27" i="7"/>
  <c r="D26" i="9"/>
  <c r="C26" i="8"/>
  <c r="C25" i="6" l="1"/>
  <c r="C26" i="6" s="1"/>
  <c r="C25" i="7"/>
  <c r="C26" i="7" s="1"/>
  <c r="D25" i="7"/>
  <c r="C26" i="9"/>
  <c r="D26" i="8"/>
  <c r="D26" i="7" l="1"/>
  <c r="C24" i="5" l="1"/>
  <c r="C27" i="5" s="1"/>
  <c r="C28" i="5" s="1"/>
  <c r="C24" i="3"/>
  <c r="B27" i="3" s="1"/>
  <c r="B28" i="3" s="1"/>
  <c r="B27" i="5" l="1"/>
  <c r="B28" i="5" s="1"/>
  <c r="C27" i="3"/>
  <c r="C28" i="3" s="1"/>
</calcChain>
</file>

<file path=xl/sharedStrings.xml><?xml version="1.0" encoding="utf-8"?>
<sst xmlns="http://schemas.openxmlformats.org/spreadsheetml/2006/main" count="397" uniqueCount="74">
  <si>
    <t>Valeurs variables</t>
  </si>
  <si>
    <t>Pas des chevrons</t>
  </si>
  <si>
    <t>déscription</t>
  </si>
  <si>
    <t>unité</t>
  </si>
  <si>
    <t>Kg/m²</t>
  </si>
  <si>
    <t>m</t>
  </si>
  <si>
    <t>Valeurs fixes</t>
  </si>
  <si>
    <t>E alu</t>
  </si>
  <si>
    <t>E acier</t>
  </si>
  <si>
    <t>Pente</t>
  </si>
  <si>
    <t>Valeur</t>
  </si>
  <si>
    <t>I renfort</t>
  </si>
  <si>
    <t>cm4</t>
  </si>
  <si>
    <t>5/384</t>
  </si>
  <si>
    <t>Constante '2 appuis simples'</t>
  </si>
  <si>
    <t>Poids sur chevron</t>
  </si>
  <si>
    <t>sans renfort</t>
  </si>
  <si>
    <t>avec renfort</t>
  </si>
  <si>
    <t>Kg/mm²</t>
  </si>
  <si>
    <t>Calcul</t>
  </si>
  <si>
    <t xml:space="preserve"> - 200 pour remplissage plaque alvéolaires</t>
  </si>
  <si>
    <t xml:space="preserve"> - 300 pour remplissage vitrage</t>
  </si>
  <si>
    <t>Constante 'flèche max'</t>
  </si>
  <si>
    <t>Poids renfort</t>
  </si>
  <si>
    <t>Poids remplissage</t>
  </si>
  <si>
    <t>Charge de neige</t>
  </si>
  <si>
    <t>Pente toture</t>
  </si>
  <si>
    <t xml:space="preserve">Longueur maximale du chevron </t>
  </si>
  <si>
    <t>Poids chevron</t>
  </si>
  <si>
    <t>I chevron</t>
  </si>
  <si>
    <t>Kg/m</t>
  </si>
  <si>
    <t>Valeur à insérer</t>
  </si>
  <si>
    <t>V A R I A N T   PORTEE CHEVRON</t>
  </si>
  <si>
    <t>Chevron_105:  431356</t>
  </si>
  <si>
    <t>Renfort Alu:     430752</t>
  </si>
  <si>
    <t>V A R I A N T   PORTEE CHEVRON_105</t>
  </si>
  <si>
    <t>Chevron_105:  431509</t>
  </si>
  <si>
    <t>Renfort Fe:     739026</t>
  </si>
  <si>
    <t>Chevron_105: 431509</t>
  </si>
  <si>
    <t>Chevron_105: 431356</t>
  </si>
  <si>
    <r>
      <t xml:space="preserve">version 12/11/2015   </t>
    </r>
    <r>
      <rPr>
        <sz val="10"/>
        <color rgb="FFFF0000"/>
        <rFont val="Arial"/>
        <family val="2"/>
      </rPr>
      <t>Ces valeurs sont données a titre indicatif et n'engagent pas Aluminium Systemes !</t>
    </r>
  </si>
  <si>
    <r>
      <t xml:space="preserve">Version 12_2019   </t>
    </r>
    <r>
      <rPr>
        <sz val="10"/>
        <color rgb="FFFF0000"/>
        <rFont val="Arial"/>
        <family val="2"/>
      </rPr>
      <t>Ces valeurs sont données a titre indicatif et n'engagent pas Flandria !</t>
    </r>
  </si>
  <si>
    <t xml:space="preserve">nu = </t>
  </si>
  <si>
    <t>Ce = Ct = 1 &amp; s1 = 0 si pente&gt;5%</t>
  </si>
  <si>
    <t>Charge neige = nu * Ce * Ct * Sk + s1</t>
  </si>
  <si>
    <t>Charge neige</t>
  </si>
  <si>
    <t>Pas chevron</t>
  </si>
  <si>
    <r>
      <t xml:space="preserve">PROFONDEUR (VARIANT chevron eco </t>
    </r>
    <r>
      <rPr>
        <u/>
        <sz val="10"/>
        <color rgb="FF0000CC"/>
        <rFont val="MS Sans Serif"/>
        <family val="2"/>
      </rPr>
      <t>sans</t>
    </r>
    <r>
      <rPr>
        <sz val="10"/>
        <color rgb="FF0000CC"/>
        <rFont val="MS Sans Serif"/>
        <family val="2"/>
      </rPr>
      <t xml:space="preserve"> renfort   Flèche maxi = L/200   /   vitrage 35kg/m²)</t>
    </r>
  </si>
  <si>
    <r>
      <t xml:space="preserve">PROFONDEUR (VARIANT chevron eco </t>
    </r>
    <r>
      <rPr>
        <u/>
        <sz val="10"/>
        <color rgb="FF0000CC"/>
        <rFont val="MS Sans Serif"/>
        <family val="2"/>
      </rPr>
      <t>avec</t>
    </r>
    <r>
      <rPr>
        <sz val="10"/>
        <color rgb="FF0000CC"/>
        <rFont val="MS Sans Serif"/>
        <family val="2"/>
      </rPr>
      <t xml:space="preserve"> renfort   Flèche maxi = L/200   /   vitrage 35kg/m²)</t>
    </r>
  </si>
  <si>
    <r>
      <t xml:space="preserve">PROFONDEUR (VARIANT chevron eco </t>
    </r>
    <r>
      <rPr>
        <u/>
        <sz val="10"/>
        <color rgb="FFFF0000"/>
        <rFont val="MS Sans Serif"/>
        <family val="2"/>
      </rPr>
      <t>sans</t>
    </r>
    <r>
      <rPr>
        <sz val="10"/>
        <color rgb="FFFF0000"/>
        <rFont val="MS Sans Serif"/>
        <family val="2"/>
      </rPr>
      <t xml:space="preserve"> renfort   Flèche maxi = L/200   /   panneau 5kg/m²)</t>
    </r>
  </si>
  <si>
    <r>
      <t xml:space="preserve">PROFONDEUR (VARIANT chevron eco </t>
    </r>
    <r>
      <rPr>
        <u/>
        <sz val="10"/>
        <color rgb="FFFF0000"/>
        <rFont val="MS Sans Serif"/>
        <family val="2"/>
      </rPr>
      <t>avec</t>
    </r>
    <r>
      <rPr>
        <sz val="10"/>
        <color rgb="FFFF0000"/>
        <rFont val="MS Sans Serif"/>
        <family val="2"/>
      </rPr>
      <t xml:space="preserve"> renfort   Flèche maxi = L/200   /   panneau 5kg/m²)</t>
    </r>
  </si>
  <si>
    <t>Profondeur maxi</t>
  </si>
  <si>
    <t>Pente toiture</t>
  </si>
  <si>
    <t>VARIANT vitrage</t>
  </si>
  <si>
    <t>CHEVRON</t>
  </si>
  <si>
    <t>CHEVRON R</t>
  </si>
  <si>
    <t>pente</t>
  </si>
  <si>
    <t>neige</t>
  </si>
  <si>
    <t>excel</t>
  </si>
  <si>
    <t>excel adapté</t>
  </si>
  <si>
    <t>cover</t>
  </si>
  <si>
    <t xml:space="preserve"> &lt;&gt;%</t>
  </si>
  <si>
    <t xml:space="preserve"> &gt;6000</t>
  </si>
  <si>
    <t xml:space="preserve"> / </t>
  </si>
  <si>
    <t>&gt;6000</t>
  </si>
  <si>
    <t>VARIANT plaque</t>
  </si>
  <si>
    <r>
      <t xml:space="preserve">PROFONDEUR (VARIANT chevron styl </t>
    </r>
    <r>
      <rPr>
        <u/>
        <sz val="10"/>
        <color rgb="FFFF0000"/>
        <rFont val="MS Sans Serif"/>
        <family val="2"/>
      </rPr>
      <t>sans</t>
    </r>
    <r>
      <rPr>
        <sz val="10"/>
        <color rgb="FFFF0000"/>
        <rFont val="MS Sans Serif"/>
        <family val="2"/>
      </rPr>
      <t xml:space="preserve"> renfort   Flèche maxi = L/200   /   plaque)</t>
    </r>
  </si>
  <si>
    <r>
      <t xml:space="preserve">PROFONDEUR (VARIANT chevron styl </t>
    </r>
    <r>
      <rPr>
        <u/>
        <sz val="10"/>
        <color rgb="FFFF0000"/>
        <rFont val="MS Sans Serif"/>
        <family val="2"/>
      </rPr>
      <t>avec</t>
    </r>
    <r>
      <rPr>
        <sz val="10"/>
        <color rgb="FFFF0000"/>
        <rFont val="MS Sans Serif"/>
        <family val="2"/>
      </rPr>
      <t xml:space="preserve"> renfort   Flèche maxi = L/200   /   plaque)</t>
    </r>
  </si>
  <si>
    <r>
      <t xml:space="preserve">PROFONDEUR (VARIANT chevron styl </t>
    </r>
    <r>
      <rPr>
        <u/>
        <sz val="10"/>
        <color rgb="FF0000CC"/>
        <rFont val="MS Sans Serif"/>
        <family val="2"/>
      </rPr>
      <t>sans</t>
    </r>
    <r>
      <rPr>
        <sz val="10"/>
        <color rgb="FF0000CC"/>
        <rFont val="MS Sans Serif"/>
        <family val="2"/>
      </rPr>
      <t xml:space="preserve"> renfort   Flèche maxi = L/200   /   vitrage)</t>
    </r>
  </si>
  <si>
    <r>
      <t xml:space="preserve">PROFONDEUR (VARIANT chevron styl </t>
    </r>
    <r>
      <rPr>
        <u/>
        <sz val="10"/>
        <color rgb="FF0000CC"/>
        <rFont val="MS Sans Serif"/>
        <family val="2"/>
      </rPr>
      <t>avec</t>
    </r>
    <r>
      <rPr>
        <sz val="10"/>
        <color rgb="FF0000CC"/>
        <rFont val="MS Sans Serif"/>
        <family val="2"/>
      </rPr>
      <t xml:space="preserve"> renfort   Flèche maxi = L/200   /   vitrage)</t>
    </r>
  </si>
  <si>
    <r>
      <t xml:space="preserve">Version 09_2020   </t>
    </r>
    <r>
      <rPr>
        <sz val="10"/>
        <color rgb="FFFF0000"/>
        <rFont val="Arial"/>
        <family val="2"/>
      </rPr>
      <t>Ces valeurs sont données a titre indicatif et n'engagent pas Flandria !</t>
    </r>
  </si>
  <si>
    <r>
      <t xml:space="preserve">V A R I A N T   PORTEE CHEVRON_105 </t>
    </r>
    <r>
      <rPr>
        <b/>
        <i/>
        <sz val="12"/>
        <color rgb="FF0000CC"/>
        <rFont val="MS Sans Serif"/>
      </rPr>
      <t>Vitrage</t>
    </r>
  </si>
  <si>
    <r>
      <t xml:space="preserve">V A R I A N T   PORTEE CHEVRON_105 </t>
    </r>
    <r>
      <rPr>
        <b/>
        <i/>
        <sz val="12"/>
        <color rgb="FF0000CC"/>
        <rFont val="MS Sans Serif"/>
      </rPr>
      <t>Plaque</t>
    </r>
  </si>
  <si>
    <t>Profondeur (m) maxi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</si>
</sst>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&quot; m&quot;"/>
    <numFmt numFmtId="165" formatCode="0.000"/>
    <numFmt numFmtId="166" formatCode="0.0"/>
    <numFmt numFmtId="167" formatCode="0.000&quot;  Kg/m&quot;"/>
    <numFmt numFmtId="168" formatCode="0.000&quot;  m&quot;"/>
    <numFmt numFmtId="169" formatCode="0.00&quot;  Kg/m&quot;"/>
    <numFmt numFmtId="170" formatCode="0.0&quot;  Kg/m&quot;"/>
  </numFmts>
  <fonts count="30" x14ac:knownFonts="1">
    <font>
      <sz val="10"/>
      <name val="MS Sans Serif"/>
    </font>
    <font>
      <b/>
      <sz val="12"/>
      <name val="MS Sans Serif"/>
      <family val="2"/>
    </font>
    <font>
      <b/>
      <sz val="10"/>
      <name val="MS Sans Serif"/>
      <family val="2"/>
    </font>
    <font>
      <sz val="12"/>
      <name val="MS Sans Serif"/>
      <family val="2"/>
    </font>
    <font>
      <b/>
      <sz val="12"/>
      <color indexed="9"/>
      <name val="MS Sans Serif"/>
      <family val="2"/>
    </font>
    <font>
      <b/>
      <u/>
      <sz val="10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2"/>
      <name val="MS Sans Serif"/>
      <family val="2"/>
    </font>
    <font>
      <b/>
      <i/>
      <sz val="12"/>
      <color indexed="9"/>
      <name val="MS Sans Serif"/>
      <family val="2"/>
    </font>
    <font>
      <b/>
      <i/>
      <sz val="10"/>
      <color indexed="9"/>
      <name val="MS Sans Serif"/>
      <family val="2"/>
    </font>
    <font>
      <b/>
      <sz val="12"/>
      <color indexed="10"/>
      <name val="MS Sans Serif"/>
      <family val="2"/>
    </font>
    <font>
      <sz val="10"/>
      <name val="MS Sans Serif"/>
      <family val="2"/>
    </font>
    <font>
      <b/>
      <sz val="12"/>
      <color indexed="12"/>
      <name val="MS Sans Serif"/>
      <family val="2"/>
    </font>
    <font>
      <i/>
      <sz val="10"/>
      <name val="MS Sans Serif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0000CC"/>
      <name val="MS Sans Serif"/>
      <family val="2"/>
    </font>
    <font>
      <b/>
      <sz val="12"/>
      <color rgb="FF0000CC"/>
      <name val="MS Sans Serif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"/>
      <name val="MS Sans Serif"/>
      <family val="2"/>
    </font>
    <font>
      <sz val="10"/>
      <color rgb="FFFF0000"/>
      <name val="MS Sans Serif"/>
      <family val="2"/>
    </font>
    <font>
      <sz val="10"/>
      <color rgb="FF0000CC"/>
      <name val="MS Sans Serif"/>
      <family val="2"/>
    </font>
    <font>
      <u/>
      <sz val="10"/>
      <color rgb="FF0000CC"/>
      <name val="MS Sans Serif"/>
      <family val="2"/>
    </font>
    <font>
      <u/>
      <sz val="10"/>
      <color rgb="FFFF0000"/>
      <name val="MS Sans Serif"/>
      <family val="2"/>
    </font>
    <font>
      <b/>
      <sz val="10"/>
      <name val="MS Sans Serif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color rgb="FF0000CC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2" borderId="0" xfId="0" applyFont="1" applyFill="1"/>
    <xf numFmtId="0" fontId="0" fillId="0" borderId="1" xfId="0" applyBorder="1" applyAlignment="1">
      <alignment horizontal="right"/>
    </xf>
    <xf numFmtId="0" fontId="0" fillId="0" borderId="1" xfId="0" applyBorder="1" applyAlignment="1"/>
    <xf numFmtId="0" fontId="0" fillId="0" borderId="1" xfId="0" applyBorder="1"/>
    <xf numFmtId="0" fontId="6" fillId="0" borderId="1" xfId="0" applyFont="1" applyBorder="1" applyAlignment="1">
      <alignment horizontal="right"/>
    </xf>
    <xf numFmtId="0" fontId="0" fillId="0" borderId="2" xfId="0" applyBorder="1"/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5" fillId="0" borderId="0" xfId="0" applyFont="1" applyFill="1"/>
    <xf numFmtId="0" fontId="2" fillId="0" borderId="0" xfId="0" applyFont="1" applyFill="1" applyAlignment="1">
      <alignment horizontal="right"/>
    </xf>
    <xf numFmtId="0" fontId="3" fillId="0" borderId="2" xfId="0" applyFont="1" applyBorder="1"/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right"/>
    </xf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167" fontId="8" fillId="0" borderId="1" xfId="0" applyNumberFormat="1" applyFont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168" fontId="1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7" fillId="0" borderId="0" xfId="0" applyFont="1" applyBorder="1"/>
    <xf numFmtId="1" fontId="2" fillId="4" borderId="1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165" fontId="2" fillId="4" borderId="1" xfId="0" applyNumberFormat="1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vertical="center"/>
      <protection locked="0"/>
    </xf>
    <xf numFmtId="0" fontId="2" fillId="4" borderId="3" xfId="0" applyFont="1" applyFill="1" applyBorder="1" applyAlignment="1" applyProtection="1">
      <alignment horizontal="right"/>
      <protection locked="0"/>
    </xf>
    <xf numFmtId="165" fontId="12" fillId="3" borderId="1" xfId="0" applyNumberFormat="1" applyFont="1" applyFill="1" applyBorder="1"/>
    <xf numFmtId="0" fontId="12" fillId="3" borderId="1" xfId="0" applyFont="1" applyFill="1" applyBorder="1"/>
    <xf numFmtId="0" fontId="12" fillId="3" borderId="1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10" fillId="0" borderId="0" xfId="0" applyFont="1" applyFill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166" fontId="12" fillId="3" borderId="1" xfId="0" applyNumberFormat="1" applyFont="1" applyFill="1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13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15" fillId="0" borderId="0" xfId="0" applyNumberFormat="1" applyFont="1" applyAlignment="1">
      <alignment horizontal="left"/>
    </xf>
    <xf numFmtId="0" fontId="0" fillId="0" borderId="0" xfId="0" applyAlignment="1">
      <alignment horizontal="center" vertical="center"/>
    </xf>
    <xf numFmtId="1" fontId="12" fillId="3" borderId="1" xfId="0" applyNumberFormat="1" applyFont="1" applyFill="1" applyBorder="1"/>
    <xf numFmtId="0" fontId="17" fillId="0" borderId="0" xfId="0" applyFont="1"/>
    <xf numFmtId="0" fontId="2" fillId="0" borderId="1" xfId="0" applyFont="1" applyBorder="1" applyAlignment="1">
      <alignment horizontal="right"/>
    </xf>
    <xf numFmtId="0" fontId="0" fillId="0" borderId="10" xfId="0" applyBorder="1" applyAlignment="1">
      <alignment horizontal="right"/>
    </xf>
    <xf numFmtId="2" fontId="0" fillId="0" borderId="10" xfId="0" applyNumberFormat="1" applyBorder="1" applyAlignment="1"/>
    <xf numFmtId="0" fontId="0" fillId="0" borderId="10" xfId="0" applyFill="1" applyBorder="1" applyAlignment="1">
      <alignment horizontal="right"/>
    </xf>
    <xf numFmtId="0" fontId="20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169" fontId="8" fillId="0" borderId="1" xfId="0" applyNumberFormat="1" applyFont="1" applyBorder="1" applyAlignment="1">
      <alignment horizontal="center"/>
    </xf>
    <xf numFmtId="170" fontId="8" fillId="0" borderId="1" xfId="0" applyNumberFormat="1" applyFont="1" applyBorder="1" applyAlignment="1">
      <alignment horizontal="center"/>
    </xf>
    <xf numFmtId="0" fontId="0" fillId="0" borderId="11" xfId="0" applyBorder="1" applyAlignment="1">
      <alignment horizontal="right"/>
    </xf>
    <xf numFmtId="2" fontId="0" fillId="0" borderId="11" xfId="0" applyNumberFormat="1" applyBorder="1" applyAlignment="1"/>
    <xf numFmtId="0" fontId="0" fillId="0" borderId="12" xfId="0" applyFill="1" applyBorder="1" applyAlignment="1">
      <alignment horizontal="right"/>
    </xf>
    <xf numFmtId="2" fontId="0" fillId="0" borderId="12" xfId="0" applyNumberFormat="1" applyBorder="1" applyAlignment="1"/>
    <xf numFmtId="2" fontId="2" fillId="0" borderId="1" xfId="0" applyNumberFormat="1" applyFont="1" applyBorder="1"/>
    <xf numFmtId="0" fontId="2" fillId="0" borderId="1" xfId="0" applyFont="1" applyFill="1" applyBorder="1" applyAlignment="1">
      <alignment horizontal="right"/>
    </xf>
    <xf numFmtId="0" fontId="18" fillId="0" borderId="1" xfId="0" applyFont="1" applyBorder="1" applyAlignment="1">
      <alignment horizontal="center"/>
    </xf>
    <xf numFmtId="165" fontId="0" fillId="0" borderId="0" xfId="0" applyNumberFormat="1"/>
    <xf numFmtId="0" fontId="2" fillId="0" borderId="13" xfId="0" applyFont="1" applyBorder="1"/>
    <xf numFmtId="0" fontId="2" fillId="0" borderId="14" xfId="0" applyFont="1" applyBorder="1"/>
    <xf numFmtId="165" fontId="21" fillId="0" borderId="2" xfId="0" applyNumberFormat="1" applyFont="1" applyBorder="1"/>
    <xf numFmtId="165" fontId="2" fillId="0" borderId="16" xfId="0" applyNumberFormat="1" applyFont="1" applyBorder="1"/>
    <xf numFmtId="165" fontId="21" fillId="0" borderId="3" xfId="0" applyNumberFormat="1" applyFont="1" applyBorder="1"/>
    <xf numFmtId="0" fontId="2" fillId="0" borderId="15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2" fillId="0" borderId="0" xfId="0" applyFont="1"/>
    <xf numFmtId="165" fontId="21" fillId="0" borderId="16" xfId="0" applyNumberFormat="1" applyFont="1" applyBorder="1"/>
    <xf numFmtId="0" fontId="2" fillId="0" borderId="20" xfId="0" applyFont="1" applyBorder="1"/>
    <xf numFmtId="0" fontId="23" fillId="0" borderId="0" xfId="0" applyFont="1"/>
    <xf numFmtId="2" fontId="23" fillId="0" borderId="21" xfId="0" applyNumberFormat="1" applyFont="1" applyBorder="1" applyAlignment="1"/>
    <xf numFmtId="2" fontId="22" fillId="0" borderId="21" xfId="0" applyNumberFormat="1" applyFont="1" applyBorder="1"/>
    <xf numFmtId="2" fontId="23" fillId="0" borderId="21" xfId="0" applyNumberFormat="1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vertical="center"/>
      <protection locked="0"/>
    </xf>
    <xf numFmtId="2" fontId="22" fillId="0" borderId="24" xfId="0" applyNumberFormat="1" applyFont="1" applyBorder="1"/>
    <xf numFmtId="2" fontId="22" fillId="0" borderId="20" xfId="0" applyNumberFormat="1" applyFont="1" applyBorder="1"/>
    <xf numFmtId="2" fontId="22" fillId="0" borderId="25" xfId="0" applyNumberFormat="1" applyFont="1" applyBorder="1"/>
    <xf numFmtId="2" fontId="22" fillId="0" borderId="26" xfId="0" applyNumberFormat="1" applyFont="1" applyBorder="1"/>
    <xf numFmtId="165" fontId="12" fillId="5" borderId="1" xfId="0" applyNumberFormat="1" applyFont="1" applyFill="1" applyBorder="1"/>
    <xf numFmtId="166" fontId="12" fillId="5" borderId="1" xfId="0" applyNumberFormat="1" applyFont="1" applyFill="1" applyBorder="1"/>
    <xf numFmtId="0" fontId="12" fillId="5" borderId="1" xfId="0" applyFont="1" applyFill="1" applyBorder="1" applyAlignment="1">
      <alignment horizontal="right"/>
    </xf>
    <xf numFmtId="0" fontId="12" fillId="5" borderId="1" xfId="0" applyFont="1" applyFill="1" applyBorder="1"/>
    <xf numFmtId="0" fontId="14" fillId="6" borderId="1" xfId="0" applyFont="1" applyFill="1" applyBorder="1" applyAlignment="1">
      <alignment horizontal="center" vertical="center"/>
    </xf>
    <xf numFmtId="1" fontId="2" fillId="6" borderId="1" xfId="0" applyNumberFormat="1" applyFont="1" applyFill="1" applyBorder="1" applyProtection="1">
      <protection locked="0"/>
    </xf>
    <xf numFmtId="0" fontId="2" fillId="6" borderId="1" xfId="0" applyFont="1" applyFill="1" applyBorder="1" applyProtection="1">
      <protection locked="0"/>
    </xf>
    <xf numFmtId="165" fontId="2" fillId="6" borderId="1" xfId="0" applyNumberFormat="1" applyFont="1" applyFill="1" applyBorder="1" applyProtection="1">
      <protection locked="0"/>
    </xf>
    <xf numFmtId="0" fontId="2" fillId="6" borderId="1" xfId="0" applyFont="1" applyFill="1" applyBorder="1" applyAlignment="1" applyProtection="1">
      <alignment horizontal="right"/>
      <protection locked="0"/>
    </xf>
    <xf numFmtId="0" fontId="12" fillId="0" borderId="1" xfId="0" applyFont="1" applyBorder="1" applyAlignment="1">
      <alignment horizontal="left"/>
    </xf>
    <xf numFmtId="0" fontId="2" fillId="6" borderId="1" xfId="0" applyFont="1" applyFill="1" applyBorder="1" applyAlignment="1" applyProtection="1">
      <alignment horizontal="right"/>
    </xf>
    <xf numFmtId="0" fontId="14" fillId="6" borderId="1" xfId="0" applyFont="1" applyFill="1" applyBorder="1" applyAlignment="1">
      <alignment horizontal="right" vertical="center"/>
    </xf>
    <xf numFmtId="2" fontId="23" fillId="0" borderId="11" xfId="0" applyNumberFormat="1" applyFont="1" applyBorder="1"/>
    <xf numFmtId="2" fontId="23" fillId="0" borderId="17" xfId="0" applyNumberFormat="1" applyFont="1" applyBorder="1"/>
    <xf numFmtId="2" fontId="23" fillId="0" borderId="1" xfId="0" applyNumberFormat="1" applyFont="1" applyBorder="1"/>
    <xf numFmtId="2" fontId="23" fillId="0" borderId="11" xfId="0" applyNumberFormat="1" applyFont="1" applyBorder="1" applyAlignment="1"/>
    <xf numFmtId="2" fontId="23" fillId="0" borderId="17" xfId="0" applyNumberFormat="1" applyFont="1" applyBorder="1" applyAlignment="1"/>
    <xf numFmtId="2" fontId="23" fillId="0" borderId="1" xfId="0" applyNumberFormat="1" applyFont="1" applyBorder="1" applyAlignment="1"/>
    <xf numFmtId="2" fontId="22" fillId="0" borderId="17" xfId="0" applyNumberFormat="1" applyFont="1" applyBorder="1"/>
    <xf numFmtId="2" fontId="22" fillId="0" borderId="18" xfId="0" applyNumberFormat="1" applyFont="1" applyBorder="1"/>
    <xf numFmtId="2" fontId="22" fillId="0" borderId="19" xfId="0" applyNumberFormat="1" applyFont="1" applyBorder="1"/>
    <xf numFmtId="2" fontId="22" fillId="0" borderId="22" xfId="0" applyNumberFormat="1" applyFont="1" applyBorder="1"/>
    <xf numFmtId="2" fontId="22" fillId="0" borderId="23" xfId="0" applyNumberFormat="1" applyFont="1" applyBorder="1"/>
    <xf numFmtId="164" fontId="11" fillId="3" borderId="1" xfId="0" applyNumberFormat="1" applyFont="1" applyFill="1" applyBorder="1" applyAlignment="1" applyProtection="1">
      <alignment horizontal="center"/>
      <protection hidden="1"/>
    </xf>
    <xf numFmtId="0" fontId="26" fillId="6" borderId="1" xfId="0" applyFon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right"/>
    </xf>
    <xf numFmtId="0" fontId="20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28" fillId="0" borderId="0" xfId="0" applyFont="1" applyAlignment="1">
      <alignment horizontal="right"/>
    </xf>
    <xf numFmtId="0" fontId="27" fillId="0" borderId="1" xfId="0" applyFont="1" applyBorder="1" applyAlignment="1">
      <alignment horizontal="right"/>
    </xf>
    <xf numFmtId="0" fontId="27" fillId="0" borderId="2" xfId="0" applyFont="1" applyBorder="1" applyAlignment="1">
      <alignment horizontal="right"/>
    </xf>
    <xf numFmtId="0" fontId="27" fillId="0" borderId="28" xfId="0" applyFont="1" applyBorder="1" applyAlignment="1">
      <alignment horizontal="right"/>
    </xf>
    <xf numFmtId="0" fontId="27" fillId="0" borderId="29" xfId="0" applyFont="1" applyBorder="1" applyAlignment="1">
      <alignment horizontal="right"/>
    </xf>
    <xf numFmtId="0" fontId="27" fillId="0" borderId="30" xfId="0" applyFont="1" applyBorder="1" applyAlignment="1">
      <alignment horizontal="right"/>
    </xf>
    <xf numFmtId="0" fontId="27" fillId="0" borderId="3" xfId="0" applyFont="1" applyBorder="1" applyAlignment="1">
      <alignment horizontal="right"/>
    </xf>
    <xf numFmtId="0" fontId="27" fillId="0" borderId="4" xfId="0" applyFont="1" applyBorder="1" applyAlignment="1">
      <alignment horizontal="right"/>
    </xf>
    <xf numFmtId="0" fontId="0" fillId="0" borderId="31" xfId="0" applyBorder="1"/>
    <xf numFmtId="1" fontId="0" fillId="0" borderId="16" xfId="0" applyNumberFormat="1" applyBorder="1"/>
    <xf numFmtId="0" fontId="0" fillId="0" borderId="32" xfId="0" applyBorder="1"/>
    <xf numFmtId="1" fontId="27" fillId="0" borderId="3" xfId="0" applyNumberFormat="1" applyFont="1" applyBorder="1"/>
    <xf numFmtId="1" fontId="28" fillId="0" borderId="0" xfId="0" applyNumberFormat="1" applyFont="1" applyAlignment="1">
      <alignment horizontal="right"/>
    </xf>
    <xf numFmtId="0" fontId="0" fillId="0" borderId="32" xfId="0" applyBorder="1" applyAlignment="1">
      <alignment horizontal="right"/>
    </xf>
    <xf numFmtId="1" fontId="27" fillId="0" borderId="33" xfId="0" applyNumberFormat="1" applyFont="1" applyBorder="1" applyAlignment="1">
      <alignment horizontal="right"/>
    </xf>
    <xf numFmtId="1" fontId="27" fillId="0" borderId="34" xfId="0" applyNumberFormat="1" applyFont="1" applyBorder="1" applyAlignment="1">
      <alignment horizontal="right"/>
    </xf>
    <xf numFmtId="1" fontId="28" fillId="0" borderId="3" xfId="0" applyNumberFormat="1" applyFont="1" applyBorder="1"/>
    <xf numFmtId="0" fontId="0" fillId="0" borderId="35" xfId="0" applyBorder="1"/>
    <xf numFmtId="1" fontId="0" fillId="0" borderId="36" xfId="0" applyNumberFormat="1" applyBorder="1"/>
    <xf numFmtId="0" fontId="0" fillId="0" borderId="37" xfId="0" applyBorder="1"/>
    <xf numFmtId="0" fontId="0" fillId="0" borderId="37" xfId="0" applyBorder="1" applyAlignment="1">
      <alignment horizontal="right"/>
    </xf>
    <xf numFmtId="1" fontId="28" fillId="0" borderId="38" xfId="0" applyNumberFormat="1" applyFont="1" applyBorder="1" applyAlignment="1">
      <alignment horizontal="right"/>
    </xf>
    <xf numFmtId="2" fontId="22" fillId="0" borderId="11" xfId="0" applyNumberFormat="1" applyFont="1" applyBorder="1"/>
    <xf numFmtId="2" fontId="23" fillId="0" borderId="10" xfId="0" applyNumberFormat="1" applyFont="1" applyBorder="1"/>
    <xf numFmtId="2" fontId="23" fillId="0" borderId="39" xfId="0" applyNumberFormat="1" applyFont="1" applyBorder="1" applyAlignment="1"/>
    <xf numFmtId="0" fontId="2" fillId="0" borderId="40" xfId="0" applyFont="1" applyBorder="1"/>
    <xf numFmtId="2" fontId="22" fillId="0" borderId="10" xfId="0" applyNumberFormat="1" applyFont="1" applyBorder="1"/>
    <xf numFmtId="165" fontId="21" fillId="0" borderId="43" xfId="0" applyNumberFormat="1" applyFont="1" applyBorder="1"/>
    <xf numFmtId="165" fontId="21" fillId="0" borderId="29" xfId="0" applyNumberFormat="1" applyFont="1" applyBorder="1"/>
    <xf numFmtId="165" fontId="2" fillId="0" borderId="29" xfId="0" applyNumberFormat="1" applyFont="1" applyBorder="1"/>
    <xf numFmtId="165" fontId="21" fillId="0" borderId="42" xfId="0" applyNumberFormat="1" applyFont="1" applyBorder="1"/>
    <xf numFmtId="165" fontId="21" fillId="0" borderId="44" xfId="0" applyNumberFormat="1" applyFont="1" applyBorder="1"/>
    <xf numFmtId="0" fontId="15" fillId="0" borderId="45" xfId="0" applyFont="1" applyBorder="1" applyAlignment="1">
      <alignment horizontal="right"/>
    </xf>
    <xf numFmtId="0" fontId="2" fillId="0" borderId="46" xfId="0" applyFont="1" applyBorder="1" applyAlignment="1">
      <alignment horizontal="center"/>
    </xf>
    <xf numFmtId="2" fontId="23" fillId="0" borderId="48" xfId="0" applyNumberFormat="1" applyFont="1" applyBorder="1"/>
    <xf numFmtId="2" fontId="23" fillId="0" borderId="50" xfId="0" applyNumberFormat="1" applyFont="1" applyBorder="1"/>
    <xf numFmtId="0" fontId="2" fillId="0" borderId="52" xfId="0" applyFont="1" applyFill="1" applyBorder="1"/>
    <xf numFmtId="2" fontId="23" fillId="0" borderId="53" xfId="0" applyNumberFormat="1" applyFont="1" applyFill="1" applyBorder="1"/>
    <xf numFmtId="2" fontId="23" fillId="0" borderId="54" xfId="0" applyNumberFormat="1" applyFont="1" applyFill="1" applyBorder="1"/>
    <xf numFmtId="0" fontId="2" fillId="0" borderId="56" xfId="0" applyFont="1" applyBorder="1"/>
    <xf numFmtId="2" fontId="23" fillId="0" borderId="57" xfId="0" applyNumberFormat="1" applyFont="1" applyBorder="1" applyAlignment="1"/>
    <xf numFmtId="2" fontId="23" fillId="0" borderId="58" xfId="0" applyNumberFormat="1" applyFont="1" applyBorder="1" applyAlignment="1"/>
    <xf numFmtId="2" fontId="23" fillId="0" borderId="50" xfId="0" applyNumberFormat="1" applyFont="1" applyBorder="1" applyAlignment="1"/>
    <xf numFmtId="0" fontId="2" fillId="0" borderId="61" xfId="0" applyFont="1" applyFill="1" applyBorder="1"/>
    <xf numFmtId="2" fontId="23" fillId="0" borderId="62" xfId="0" applyNumberFormat="1" applyFont="1" applyBorder="1" applyAlignment="1"/>
    <xf numFmtId="2" fontId="23" fillId="0" borderId="54" xfId="0" applyNumberFormat="1" applyFont="1" applyBorder="1" applyAlignment="1"/>
    <xf numFmtId="165" fontId="21" fillId="0" borderId="0" xfId="0" applyNumberFormat="1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2" fontId="22" fillId="0" borderId="0" xfId="0" applyNumberFormat="1" applyFont="1" applyBorder="1"/>
    <xf numFmtId="165" fontId="22" fillId="0" borderId="0" xfId="0" applyNumberFormat="1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165" fontId="21" fillId="0" borderId="0" xfId="0" applyNumberFormat="1" applyFont="1" applyBorder="1" applyAlignment="1"/>
    <xf numFmtId="165" fontId="2" fillId="0" borderId="0" xfId="0" applyNumberFormat="1" applyFont="1" applyBorder="1" applyAlignment="1"/>
    <xf numFmtId="0" fontId="2" fillId="0" borderId="0" xfId="0" applyFont="1" applyBorder="1" applyAlignment="1"/>
    <xf numFmtId="2" fontId="22" fillId="0" borderId="0" xfId="0" applyNumberFormat="1" applyFont="1" applyBorder="1" applyAlignment="1"/>
    <xf numFmtId="0" fontId="2" fillId="0" borderId="0" xfId="0" applyFont="1" applyFill="1" applyBorder="1" applyAlignment="1"/>
    <xf numFmtId="0" fontId="22" fillId="0" borderId="0" xfId="0" applyFont="1" applyBorder="1" applyAlignment="1"/>
    <xf numFmtId="165" fontId="21" fillId="0" borderId="41" xfId="0" applyNumberFormat="1" applyFont="1" applyBorder="1"/>
    <xf numFmtId="2" fontId="2" fillId="0" borderId="29" xfId="0" applyNumberFormat="1" applyFont="1" applyBorder="1"/>
    <xf numFmtId="0" fontId="2" fillId="0" borderId="63" xfId="0" applyFont="1" applyBorder="1" applyAlignment="1">
      <alignment horizontal="center"/>
    </xf>
    <xf numFmtId="2" fontId="22" fillId="0" borderId="65" xfId="0" applyNumberFormat="1" applyFont="1" applyBorder="1" applyAlignment="1"/>
    <xf numFmtId="2" fontId="22" fillId="0" borderId="66" xfId="0" applyNumberFormat="1" applyFont="1" applyBorder="1" applyAlignment="1"/>
    <xf numFmtId="2" fontId="22" fillId="0" borderId="58" xfId="0" applyNumberFormat="1" applyFont="1" applyBorder="1" applyAlignment="1"/>
    <xf numFmtId="2" fontId="22" fillId="0" borderId="67" xfId="0" applyNumberFormat="1" applyFont="1" applyBorder="1" applyAlignment="1"/>
    <xf numFmtId="2" fontId="22" fillId="0" borderId="10" xfId="0" applyNumberFormat="1" applyFont="1" applyBorder="1" applyAlignment="1"/>
    <xf numFmtId="2" fontId="22" fillId="0" borderId="50" xfId="0" applyNumberFormat="1" applyFont="1" applyBorder="1" applyAlignment="1"/>
    <xf numFmtId="2" fontId="22" fillId="0" borderId="68" xfId="0" applyNumberFormat="1" applyFont="1" applyBorder="1" applyAlignment="1"/>
    <xf numFmtId="2" fontId="22" fillId="0" borderId="53" xfId="0" applyNumberFormat="1" applyFont="1" applyBorder="1" applyAlignment="1"/>
    <xf numFmtId="2" fontId="22" fillId="0" borderId="54" xfId="0" applyNumberFormat="1" applyFont="1" applyBorder="1" applyAlignment="1"/>
    <xf numFmtId="2" fontId="22" fillId="0" borderId="64" xfId="0" applyNumberFormat="1" applyFont="1" applyBorder="1"/>
    <xf numFmtId="2" fontId="22" fillId="0" borderId="67" xfId="0" applyNumberFormat="1" applyFont="1" applyBorder="1"/>
    <xf numFmtId="2" fontId="22" fillId="0" borderId="48" xfId="0" applyNumberFormat="1" applyFont="1" applyBorder="1"/>
    <xf numFmtId="2" fontId="22" fillId="0" borderId="50" xfId="0" applyNumberFormat="1" applyFont="1" applyBorder="1"/>
    <xf numFmtId="2" fontId="22" fillId="0" borderId="68" xfId="0" applyNumberFormat="1" applyFont="1" applyBorder="1"/>
    <xf numFmtId="2" fontId="22" fillId="0" borderId="53" xfId="0" applyNumberFormat="1" applyFont="1" applyBorder="1"/>
    <xf numFmtId="2" fontId="22" fillId="0" borderId="54" xfId="0" applyNumberFormat="1" applyFont="1" applyBorder="1"/>
    <xf numFmtId="2" fontId="11" fillId="3" borderId="1" xfId="0" applyNumberFormat="1" applyFont="1" applyFill="1" applyBorder="1" applyAlignment="1" applyProtection="1">
      <alignment horizontal="center"/>
      <protection hidden="1"/>
    </xf>
    <xf numFmtId="2" fontId="23" fillId="0" borderId="69" xfId="0" applyNumberFormat="1" applyFont="1" applyBorder="1" applyAlignment="1"/>
    <xf numFmtId="2" fontId="23" fillId="0" borderId="70" xfId="0" applyNumberFormat="1" applyFont="1" applyBorder="1" applyAlignment="1"/>
    <xf numFmtId="2" fontId="23" fillId="0" borderId="71" xfId="0" applyNumberFormat="1" applyFont="1" applyBorder="1" applyAlignment="1"/>
    <xf numFmtId="2" fontId="23" fillId="0" borderId="72" xfId="0" applyNumberFormat="1" applyFont="1" applyBorder="1" applyAlignment="1"/>
    <xf numFmtId="2" fontId="23" fillId="0" borderId="73" xfId="0" applyNumberFormat="1" applyFont="1" applyBorder="1" applyAlignment="1"/>
    <xf numFmtId="2" fontId="23" fillId="0" borderId="74" xfId="0" applyNumberFormat="1" applyFont="1" applyBorder="1" applyAlignment="1"/>
    <xf numFmtId="2" fontId="23" fillId="0" borderId="75" xfId="0" applyNumberFormat="1" applyFont="1" applyBorder="1"/>
    <xf numFmtId="2" fontId="23" fillId="0" borderId="70" xfId="0" applyNumberFormat="1" applyFont="1" applyBorder="1"/>
    <xf numFmtId="2" fontId="23" fillId="0" borderId="71" xfId="0" applyNumberFormat="1" applyFont="1" applyFill="1" applyBorder="1"/>
    <xf numFmtId="2" fontId="23" fillId="0" borderId="76" xfId="0" applyNumberFormat="1" applyFont="1" applyBorder="1"/>
    <xf numFmtId="2" fontId="23" fillId="0" borderId="40" xfId="0" applyNumberFormat="1" applyFont="1" applyBorder="1"/>
    <xf numFmtId="2" fontId="23" fillId="0" borderId="77" xfId="0" applyNumberFormat="1" applyFont="1" applyFill="1" applyBorder="1"/>
    <xf numFmtId="0" fontId="0" fillId="0" borderId="78" xfId="0" applyBorder="1"/>
    <xf numFmtId="0" fontId="0" fillId="0" borderId="79" xfId="0" applyBorder="1"/>
    <xf numFmtId="2" fontId="23" fillId="0" borderId="31" xfId="0" applyNumberFormat="1" applyFont="1" applyBorder="1"/>
    <xf numFmtId="2" fontId="23" fillId="0" borderId="32" xfId="0" applyNumberFormat="1" applyFont="1" applyBorder="1"/>
    <xf numFmtId="2" fontId="23" fillId="0" borderId="35" xfId="0" applyNumberFormat="1" applyFont="1" applyFill="1" applyBorder="1"/>
    <xf numFmtId="2" fontId="23" fillId="0" borderId="80" xfId="0" applyNumberFormat="1" applyFont="1" applyFill="1" applyBorder="1"/>
    <xf numFmtId="2" fontId="23" fillId="0" borderId="37" xfId="0" applyNumberFormat="1" applyFont="1" applyFill="1" applyBorder="1"/>
    <xf numFmtId="2" fontId="23" fillId="0" borderId="28" xfId="0" applyNumberFormat="1" applyFont="1" applyBorder="1" applyAlignment="1"/>
    <xf numFmtId="2" fontId="23" fillId="0" borderId="81" xfId="0" applyNumberFormat="1" applyFont="1" applyBorder="1" applyAlignment="1"/>
    <xf numFmtId="2" fontId="23" fillId="0" borderId="30" xfId="0" applyNumberFormat="1" applyFont="1" applyBorder="1" applyAlignment="1"/>
    <xf numFmtId="2" fontId="23" fillId="0" borderId="31" xfId="0" applyNumberFormat="1" applyFont="1" applyBorder="1" applyAlignment="1"/>
    <xf numFmtId="2" fontId="23" fillId="0" borderId="32" xfId="0" applyNumberFormat="1" applyFont="1" applyBorder="1" applyAlignment="1"/>
    <xf numFmtId="2" fontId="23" fillId="0" borderId="35" xfId="0" applyNumberFormat="1" applyFont="1" applyBorder="1" applyAlignment="1"/>
    <xf numFmtId="2" fontId="23" fillId="0" borderId="80" xfId="0" applyNumberFormat="1" applyFont="1" applyBorder="1" applyAlignment="1"/>
    <xf numFmtId="2" fontId="23" fillId="0" borderId="37" xfId="0" applyNumberFormat="1" applyFont="1" applyBorder="1" applyAlignment="1"/>
    <xf numFmtId="2" fontId="21" fillId="0" borderId="29" xfId="0" applyNumberFormat="1" applyFont="1" applyBorder="1"/>
    <xf numFmtId="2" fontId="22" fillId="0" borderId="75" xfId="0" applyNumberFormat="1" applyFont="1" applyBorder="1"/>
    <xf numFmtId="2" fontId="22" fillId="0" borderId="70" xfId="0" applyNumberFormat="1" applyFont="1" applyBorder="1"/>
    <xf numFmtId="2" fontId="22" fillId="0" borderId="71" xfId="0" applyNumberFormat="1" applyFont="1" applyBorder="1"/>
    <xf numFmtId="2" fontId="22" fillId="0" borderId="76" xfId="0" applyNumberFormat="1" applyFont="1" applyBorder="1"/>
    <xf numFmtId="2" fontId="22" fillId="0" borderId="40" xfId="0" applyNumberFormat="1" applyFont="1" applyBorder="1"/>
    <xf numFmtId="2" fontId="22" fillId="0" borderId="77" xfId="0" applyNumberFormat="1" applyFont="1" applyBorder="1"/>
    <xf numFmtId="2" fontId="22" fillId="0" borderId="69" xfId="0" applyNumberFormat="1" applyFont="1" applyBorder="1" applyAlignment="1"/>
    <xf numFmtId="2" fontId="22" fillId="0" borderId="70" xfId="0" applyNumberFormat="1" applyFont="1" applyBorder="1" applyAlignment="1"/>
    <xf numFmtId="2" fontId="22" fillId="0" borderId="71" xfId="0" applyNumberFormat="1" applyFont="1" applyBorder="1" applyAlignment="1"/>
    <xf numFmtId="2" fontId="22" fillId="0" borderId="56" xfId="0" applyNumberFormat="1" applyFont="1" applyBorder="1" applyAlignment="1"/>
    <xf numFmtId="2" fontId="22" fillId="0" borderId="40" xfId="0" applyNumberFormat="1" applyFont="1" applyBorder="1" applyAlignment="1"/>
    <xf numFmtId="2" fontId="22" fillId="0" borderId="77" xfId="0" applyNumberFormat="1" applyFont="1" applyBorder="1" applyAlignment="1"/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27" xfId="0" applyFont="1" applyBorder="1"/>
    <xf numFmtId="0" fontId="27" fillId="0" borderId="0" xfId="0" applyFont="1"/>
    <xf numFmtId="0" fontId="1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15" fillId="0" borderId="41" xfId="0" applyFont="1" applyBorder="1" applyAlignment="1">
      <alignment horizontal="right"/>
    </xf>
    <xf numFmtId="0" fontId="0" fillId="0" borderId="42" xfId="0" applyBorder="1" applyAlignment="1">
      <alignment horizontal="right"/>
    </xf>
    <xf numFmtId="0" fontId="15" fillId="0" borderId="47" xfId="0" applyFont="1" applyBorder="1" applyAlignment="1">
      <alignment horizontal="center" vertical="center" textRotation="90"/>
    </xf>
    <xf numFmtId="0" fontId="0" fillId="0" borderId="49" xfId="0" applyBorder="1" applyAlignment="1"/>
    <xf numFmtId="0" fontId="0" fillId="0" borderId="51" xfId="0" applyBorder="1" applyAlignment="1"/>
    <xf numFmtId="0" fontId="15" fillId="0" borderId="55" xfId="0" applyFont="1" applyBorder="1" applyAlignment="1">
      <alignment horizontal="center" vertical="center" textRotation="90"/>
    </xf>
    <xf numFmtId="0" fontId="0" fillId="0" borderId="59" xfId="0" applyBorder="1" applyAlignment="1"/>
    <xf numFmtId="0" fontId="0" fillId="0" borderId="60" xfId="0" applyBorder="1" applyAlignment="1"/>
    <xf numFmtId="0" fontId="15" fillId="0" borderId="42" xfId="0" applyFont="1" applyBorder="1" applyAlignment="1">
      <alignment horizontal="right"/>
    </xf>
    <xf numFmtId="0" fontId="15" fillId="0" borderId="49" xfId="0" applyFont="1" applyBorder="1" applyAlignment="1">
      <alignment horizontal="center" vertical="center" textRotation="90"/>
    </xf>
    <xf numFmtId="0" fontId="15" fillId="0" borderId="51" xfId="0" applyFont="1" applyBorder="1" applyAlignment="1">
      <alignment horizontal="center" vertical="center" textRotation="90"/>
    </xf>
    <xf numFmtId="0" fontId="15" fillId="0" borderId="59" xfId="0" applyFont="1" applyBorder="1" applyAlignment="1">
      <alignment horizontal="center" vertical="center" textRotation="90"/>
    </xf>
    <xf numFmtId="0" fontId="15" fillId="0" borderId="60" xfId="0" applyFont="1" applyBorder="1" applyAlignment="1">
      <alignment horizontal="center" vertical="center" textRotation="90"/>
    </xf>
    <xf numFmtId="0" fontId="27" fillId="0" borderId="0" xfId="0" applyFont="1" applyBorder="1"/>
    <xf numFmtId="0" fontId="15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15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20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15" fillId="0" borderId="9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466725</xdr:colOff>
      <xdr:row>1</xdr:row>
      <xdr:rowOff>85725</xdr:rowOff>
    </xdr:from>
    <xdr:to>
      <xdr:col>12</xdr:col>
      <xdr:colOff>609600</xdr:colOff>
      <xdr:row>28</xdr:row>
      <xdr:rowOff>104775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247650"/>
          <a:ext cx="3190875" cy="312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</xdr:colOff>
      <xdr:row>2</xdr:row>
      <xdr:rowOff>19050</xdr:rowOff>
    </xdr:from>
    <xdr:to>
      <xdr:col>8</xdr:col>
      <xdr:colOff>228351</xdr:colOff>
      <xdr:row>22</xdr:row>
      <xdr:rowOff>123586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6325" y="428625"/>
          <a:ext cx="1990476" cy="19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1</xdr:row>
      <xdr:rowOff>95250</xdr:rowOff>
    </xdr:from>
    <xdr:to>
      <xdr:col>12</xdr:col>
      <xdr:colOff>733425</xdr:colOff>
      <xdr:row>28</xdr:row>
      <xdr:rowOff>114300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257175"/>
          <a:ext cx="3190875" cy="312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9525</xdr:colOff>
      <xdr:row>1</xdr:row>
      <xdr:rowOff>238125</xdr:rowOff>
    </xdr:from>
    <xdr:to>
      <xdr:col>8</xdr:col>
      <xdr:colOff>247398</xdr:colOff>
      <xdr:row>22</xdr:row>
      <xdr:rowOff>28344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6800" y="400050"/>
          <a:ext cx="2019048" cy="18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</xdr:colOff>
      <xdr:row>1</xdr:row>
      <xdr:rowOff>8708</xdr:rowOff>
    </xdr:from>
    <xdr:to>
      <xdr:col>29</xdr:col>
      <xdr:colOff>158115</xdr:colOff>
      <xdr:row>27</xdr:row>
      <xdr:rowOff>95249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0160" y="176348"/>
          <a:ext cx="3312795" cy="3119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315686</xdr:colOff>
      <xdr:row>26</xdr:row>
      <xdr:rowOff>38100</xdr:rowOff>
    </xdr:from>
    <xdr:to>
      <xdr:col>3</xdr:col>
      <xdr:colOff>811028</xdr:colOff>
      <xdr:row>33</xdr:row>
      <xdr:rowOff>54471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0400" y="5519057"/>
          <a:ext cx="1611128" cy="1616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17145</xdr:colOff>
      <xdr:row>1</xdr:row>
      <xdr:rowOff>23948</xdr:rowOff>
    </xdr:from>
    <xdr:to>
      <xdr:col>45</xdr:col>
      <xdr:colOff>160020</xdr:colOff>
      <xdr:row>27</xdr:row>
      <xdr:rowOff>110489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5B91FB1-24AC-424C-A00E-4A119124E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2065" y="191588"/>
          <a:ext cx="3312795" cy="3119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315686</xdr:colOff>
      <xdr:row>26</xdr:row>
      <xdr:rowOff>38100</xdr:rowOff>
    </xdr:from>
    <xdr:to>
      <xdr:col>3</xdr:col>
      <xdr:colOff>811028</xdr:colOff>
      <xdr:row>33</xdr:row>
      <xdr:rowOff>54471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4C6E343-FB05-4A35-94DD-838A090D4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12226" y="5753100"/>
          <a:ext cx="1577382" cy="1616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26670</xdr:colOff>
      <xdr:row>1</xdr:row>
      <xdr:rowOff>76200</xdr:rowOff>
    </xdr:from>
    <xdr:to>
      <xdr:col>30</xdr:col>
      <xdr:colOff>169545</xdr:colOff>
      <xdr:row>27</xdr:row>
      <xdr:rowOff>223701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9690" y="243840"/>
          <a:ext cx="3312795" cy="3120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250373</xdr:colOff>
      <xdr:row>26</xdr:row>
      <xdr:rowOff>157843</xdr:rowOff>
    </xdr:from>
    <xdr:to>
      <xdr:col>3</xdr:col>
      <xdr:colOff>794700</xdr:colOff>
      <xdr:row>33</xdr:row>
      <xdr:rowOff>103455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5087" y="5867400"/>
          <a:ext cx="1583913" cy="154581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10614</xdr:colOff>
      <xdr:row>1</xdr:row>
      <xdr:rowOff>193766</xdr:rowOff>
    </xdr:from>
    <xdr:to>
      <xdr:col>10</xdr:col>
      <xdr:colOff>686889</xdr:colOff>
      <xdr:row>28</xdr:row>
      <xdr:rowOff>59327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6643" y="357052"/>
          <a:ext cx="3326946" cy="3131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315685</xdr:colOff>
      <xdr:row>26</xdr:row>
      <xdr:rowOff>152401</xdr:rowOff>
    </xdr:from>
    <xdr:to>
      <xdr:col>3</xdr:col>
      <xdr:colOff>811027</xdr:colOff>
      <xdr:row>33</xdr:row>
      <xdr:rowOff>108903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0399" y="3450772"/>
          <a:ext cx="1611128" cy="1692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</xdr:colOff>
      <xdr:row>1</xdr:row>
      <xdr:rowOff>140970</xdr:rowOff>
    </xdr:from>
    <xdr:to>
      <xdr:col>10</xdr:col>
      <xdr:colOff>727710</xdr:colOff>
      <xdr:row>28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308610"/>
          <a:ext cx="3343275" cy="3120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332014</xdr:colOff>
      <xdr:row>26</xdr:row>
      <xdr:rowOff>146956</xdr:rowOff>
    </xdr:from>
    <xdr:to>
      <xdr:col>3</xdr:col>
      <xdr:colOff>794698</xdr:colOff>
      <xdr:row>33</xdr:row>
      <xdr:rowOff>168770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16728" y="3216727"/>
          <a:ext cx="1578470" cy="162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workbookViewId="0">
      <selection activeCell="J34" sqref="J34"/>
    </sheetView>
  </sheetViews>
  <sheetFormatPr baseColWidth="10" defaultRowHeight="12.6" x14ac:dyDescent="0.25"/>
  <cols>
    <col min="1" max="1" width="39.109375" bestFit="1" customWidth="1"/>
    <col min="2" max="2" width="14.6640625" customWidth="1"/>
    <col min="3" max="3" width="17.44140625" customWidth="1"/>
    <col min="4" max="4" width="1.6640625" customWidth="1"/>
    <col min="5" max="6" width="18.6640625" hidden="1" customWidth="1"/>
    <col min="7" max="7" width="15.33203125" customWidth="1"/>
  </cols>
  <sheetData>
    <row r="1" spans="1:7" ht="13.2" x14ac:dyDescent="0.25">
      <c r="A1" s="49" t="s">
        <v>40</v>
      </c>
    </row>
    <row r="2" spans="1:7" ht="20.100000000000001" customHeight="1" x14ac:dyDescent="0.25">
      <c r="A2" s="241" t="s">
        <v>35</v>
      </c>
      <c r="B2" s="242"/>
      <c r="C2" s="242"/>
      <c r="D2" s="37"/>
      <c r="E2" s="37"/>
      <c r="F2" s="37"/>
      <c r="G2" s="37"/>
    </row>
    <row r="3" spans="1:7" x14ac:dyDescent="0.25">
      <c r="A3" s="44" t="s">
        <v>33</v>
      </c>
      <c r="B3" s="42"/>
      <c r="C3" s="42"/>
      <c r="D3" s="37"/>
      <c r="E3" s="37"/>
      <c r="F3" s="37"/>
      <c r="G3" s="37"/>
    </row>
    <row r="4" spans="1:7" x14ac:dyDescent="0.25">
      <c r="A4" s="44" t="s">
        <v>34</v>
      </c>
    </row>
    <row r="5" spans="1:7" ht="3" customHeight="1" x14ac:dyDescent="0.25"/>
    <row r="6" spans="1:7" ht="20.100000000000001" hidden="1" customHeight="1" x14ac:dyDescent="0.3">
      <c r="A6" s="3" t="s">
        <v>6</v>
      </c>
    </row>
    <row r="7" spans="1:7" ht="20.100000000000001" hidden="1" customHeight="1" x14ac:dyDescent="0.25">
      <c r="A7" s="15" t="s">
        <v>2</v>
      </c>
      <c r="B7" s="9" t="s">
        <v>3</v>
      </c>
    </row>
    <row r="8" spans="1:7" ht="20.100000000000001" hidden="1" customHeight="1" x14ac:dyDescent="0.25">
      <c r="A8" s="6" t="s">
        <v>28</v>
      </c>
      <c r="B8" s="10" t="s">
        <v>30</v>
      </c>
      <c r="C8" s="32">
        <v>2.5819999999999999</v>
      </c>
      <c r="E8" s="24"/>
      <c r="F8" s="25"/>
      <c r="G8" s="25"/>
    </row>
    <row r="9" spans="1:7" ht="20.100000000000001" hidden="1" customHeight="1" x14ac:dyDescent="0.25">
      <c r="A9" s="6" t="s">
        <v>23</v>
      </c>
      <c r="B9" s="10" t="s">
        <v>30</v>
      </c>
      <c r="C9" s="32">
        <v>3.2250000000000001</v>
      </c>
      <c r="E9" s="26"/>
      <c r="F9" s="24"/>
      <c r="G9" s="24"/>
    </row>
    <row r="10" spans="1:7" ht="20.100000000000001" hidden="1" customHeight="1" x14ac:dyDescent="0.25">
      <c r="A10" s="6" t="s">
        <v>29</v>
      </c>
      <c r="B10" s="10" t="s">
        <v>12</v>
      </c>
      <c r="C10" s="33">
        <v>176.36</v>
      </c>
    </row>
    <row r="11" spans="1:7" ht="20.100000000000001" hidden="1" customHeight="1" x14ac:dyDescent="0.25">
      <c r="A11" s="6" t="s">
        <v>11</v>
      </c>
      <c r="B11" s="10" t="s">
        <v>12</v>
      </c>
      <c r="C11" s="33">
        <v>141</v>
      </c>
      <c r="E11" s="24"/>
      <c r="F11" s="24"/>
    </row>
    <row r="12" spans="1:7" ht="20.100000000000001" hidden="1" customHeight="1" x14ac:dyDescent="0.25">
      <c r="A12" s="8" t="s">
        <v>7</v>
      </c>
      <c r="B12" s="7" t="s">
        <v>18</v>
      </c>
      <c r="C12" s="34">
        <v>7000</v>
      </c>
    </row>
    <row r="13" spans="1:7" ht="20.100000000000001" hidden="1" customHeight="1" x14ac:dyDescent="0.25">
      <c r="A13" s="8" t="s">
        <v>8</v>
      </c>
      <c r="B13" s="7" t="s">
        <v>18</v>
      </c>
      <c r="C13" s="34">
        <v>21000</v>
      </c>
    </row>
    <row r="14" spans="1:7" ht="20.100000000000001" hidden="1" customHeight="1" x14ac:dyDescent="0.25">
      <c r="A14" s="8" t="s">
        <v>14</v>
      </c>
      <c r="B14" s="4" t="s">
        <v>13</v>
      </c>
      <c r="C14" s="34">
        <v>1.2999999999999999E-2</v>
      </c>
    </row>
    <row r="15" spans="1:7" ht="12" hidden="1" customHeight="1" x14ac:dyDescent="0.25">
      <c r="E15" s="4" t="s">
        <v>9</v>
      </c>
      <c r="F15" s="4" t="s">
        <v>10</v>
      </c>
    </row>
    <row r="16" spans="1:7" ht="20.100000000000001" customHeight="1" x14ac:dyDescent="0.3">
      <c r="A16" s="3" t="s">
        <v>0</v>
      </c>
      <c r="C16" s="46" t="s">
        <v>31</v>
      </c>
      <c r="E16" s="4">
        <v>0</v>
      </c>
      <c r="F16" s="5">
        <v>1</v>
      </c>
    </row>
    <row r="17" spans="1:6" ht="15.9" customHeight="1" x14ac:dyDescent="0.25">
      <c r="A17" s="11" t="s">
        <v>2</v>
      </c>
      <c r="B17" s="17" t="s">
        <v>3</v>
      </c>
      <c r="E17" s="4">
        <v>5</v>
      </c>
      <c r="F17" s="5">
        <v>0.79700000000000004</v>
      </c>
    </row>
    <row r="18" spans="1:6" ht="15.9" customHeight="1" x14ac:dyDescent="0.25">
      <c r="A18" s="6" t="s">
        <v>24</v>
      </c>
      <c r="B18" s="10" t="s">
        <v>4</v>
      </c>
      <c r="C18" s="27">
        <v>5</v>
      </c>
      <c r="E18" s="4">
        <v>10</v>
      </c>
      <c r="F18" s="5">
        <v>0.78800000000000003</v>
      </c>
    </row>
    <row r="19" spans="1:6" ht="15.9" customHeight="1" x14ac:dyDescent="0.25">
      <c r="A19" s="6" t="s">
        <v>25</v>
      </c>
      <c r="B19" s="10" t="s">
        <v>4</v>
      </c>
      <c r="C19" s="28">
        <v>80</v>
      </c>
      <c r="E19" s="4">
        <v>15</v>
      </c>
      <c r="F19" s="5">
        <v>0.77300000000000002</v>
      </c>
    </row>
    <row r="20" spans="1:6" ht="15.9" customHeight="1" x14ac:dyDescent="0.25">
      <c r="A20" s="6" t="s">
        <v>1</v>
      </c>
      <c r="B20" s="10" t="s">
        <v>5</v>
      </c>
      <c r="C20" s="29">
        <v>1.3</v>
      </c>
      <c r="E20" s="4">
        <v>20</v>
      </c>
      <c r="F20" s="5">
        <v>0.752</v>
      </c>
    </row>
    <row r="21" spans="1:6" ht="15.9" customHeight="1" x14ac:dyDescent="0.25">
      <c r="A21" s="38" t="s">
        <v>22</v>
      </c>
      <c r="B21" s="18"/>
      <c r="C21" s="31">
        <v>200</v>
      </c>
      <c r="E21" s="4">
        <v>25</v>
      </c>
      <c r="F21" s="5">
        <v>0.72499999999999998</v>
      </c>
    </row>
    <row r="22" spans="1:6" ht="15.9" customHeight="1" x14ac:dyDescent="0.25">
      <c r="A22" s="39" t="s">
        <v>20</v>
      </c>
      <c r="B22" s="19"/>
      <c r="C22" s="12"/>
      <c r="E22" s="4">
        <v>30</v>
      </c>
      <c r="F22" s="5">
        <v>0.69299999999999995</v>
      </c>
    </row>
    <row r="23" spans="1:6" ht="15.9" customHeight="1" x14ac:dyDescent="0.25">
      <c r="A23" s="40" t="s">
        <v>21</v>
      </c>
      <c r="B23" s="20"/>
      <c r="C23" s="1"/>
      <c r="E23" s="4">
        <v>35</v>
      </c>
      <c r="F23" s="5">
        <v>0.54600000000000004</v>
      </c>
    </row>
    <row r="24" spans="1:6" ht="15.9" customHeight="1" x14ac:dyDescent="0.25">
      <c r="A24" s="16" t="s">
        <v>26</v>
      </c>
      <c r="B24" s="30">
        <v>35</v>
      </c>
      <c r="C24" s="33">
        <f>VLOOKUP(B24,E16:F23,2)</f>
        <v>0.54600000000000004</v>
      </c>
      <c r="E24" s="35"/>
      <c r="F24" s="36"/>
    </row>
    <row r="25" spans="1:6" ht="12" customHeight="1" x14ac:dyDescent="0.25"/>
    <row r="26" spans="1:6" ht="20.100000000000001" customHeight="1" x14ac:dyDescent="0.3">
      <c r="A26" s="3" t="s">
        <v>19</v>
      </c>
      <c r="B26" s="43" t="s">
        <v>16</v>
      </c>
      <c r="C26" s="45" t="s">
        <v>17</v>
      </c>
    </row>
    <row r="27" spans="1:6" ht="20.100000000000001" hidden="1" customHeight="1" x14ac:dyDescent="0.3">
      <c r="A27" s="13" t="s">
        <v>15</v>
      </c>
      <c r="B27" s="21">
        <f>(C20*(C24*C19+C18))+C8</f>
        <v>65.866000000000014</v>
      </c>
      <c r="C27" s="21">
        <f>C20*(C24*C19+C18)+C8+C9</f>
        <v>69.091000000000008</v>
      </c>
    </row>
    <row r="28" spans="1:6" ht="20.100000000000001" customHeight="1" x14ac:dyDescent="0.3">
      <c r="A28" s="13" t="s">
        <v>27</v>
      </c>
      <c r="B28" s="22">
        <f>((C10*C12*10000/(C21*C14*B27))^(1/3))/100</f>
        <v>4.1618634865029067</v>
      </c>
      <c r="C28" s="23">
        <f>((((C10*C12)+(C11*C12))*10000/(C21*C14*C27))^(1/3))/100</f>
        <v>4.9821691358547033</v>
      </c>
    </row>
    <row r="29" spans="1:6" ht="20.100000000000001" customHeight="1" x14ac:dyDescent="0.25"/>
    <row r="30" spans="1:6" ht="20.100000000000001" customHeight="1" x14ac:dyDescent="0.25"/>
    <row r="31" spans="1:6" ht="20.100000000000001" customHeight="1" x14ac:dyDescent="0.25"/>
    <row r="32" spans="1:6" ht="20.100000000000001" customHeight="1" x14ac:dyDescent="0.25"/>
    <row r="33" spans="3:3" ht="20.100000000000001" customHeight="1" x14ac:dyDescent="0.25"/>
    <row r="34" spans="3:3" ht="20.100000000000001" customHeight="1" x14ac:dyDescent="0.25"/>
    <row r="35" spans="3:3" ht="20.100000000000001" customHeight="1" x14ac:dyDescent="0.25"/>
    <row r="36" spans="3:3" ht="20.100000000000001" customHeight="1" x14ac:dyDescent="0.25"/>
    <row r="37" spans="3:3" ht="20.100000000000001" customHeight="1" x14ac:dyDescent="0.25"/>
    <row r="38" spans="3:3" ht="20.100000000000001" customHeight="1" x14ac:dyDescent="0.25"/>
    <row r="39" spans="3:3" ht="20.100000000000001" customHeight="1" x14ac:dyDescent="0.3">
      <c r="C39" s="2"/>
    </row>
    <row r="40" spans="3:3" ht="20.100000000000001" customHeight="1" x14ac:dyDescent="0.25"/>
    <row r="41" spans="3:3" ht="20.100000000000001" customHeight="1" x14ac:dyDescent="0.25"/>
    <row r="42" spans="3:3" ht="20.100000000000001" customHeight="1" x14ac:dyDescent="0.25"/>
    <row r="43" spans="3:3" ht="20.100000000000001" customHeight="1" x14ac:dyDescent="0.25"/>
    <row r="44" spans="3:3" ht="20.100000000000001" customHeight="1" x14ac:dyDescent="0.25"/>
    <row r="45" spans="3:3" ht="20.100000000000001" customHeight="1" x14ac:dyDescent="0.25"/>
    <row r="46" spans="3:3" ht="20.100000000000001" customHeight="1" x14ac:dyDescent="0.25"/>
    <row r="47" spans="3:3" ht="20.100000000000001" customHeight="1" x14ac:dyDescent="0.25"/>
    <row r="48" spans="3:3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</sheetData>
  <sheetProtection sheet="1" objects="1" scenarios="1"/>
  <mergeCells count="1">
    <mergeCell ref="A2:C2"/>
  </mergeCells>
  <phoneticPr fontId="0" type="noConversion"/>
  <pageMargins left="0" right="0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"/>
  <sheetViews>
    <sheetView workbookViewId="0">
      <selection activeCell="H36" sqref="H36"/>
    </sheetView>
  </sheetViews>
  <sheetFormatPr baseColWidth="10" defaultRowHeight="12.6" x14ac:dyDescent="0.25"/>
  <cols>
    <col min="1" max="1" width="39.109375" bestFit="1" customWidth="1"/>
    <col min="2" max="2" width="14.6640625" customWidth="1"/>
    <col min="3" max="3" width="17.44140625" customWidth="1"/>
    <col min="4" max="4" width="1.6640625" customWidth="1"/>
    <col min="5" max="6" width="18.6640625" hidden="1" customWidth="1"/>
    <col min="7" max="7" width="15.33203125" customWidth="1"/>
  </cols>
  <sheetData>
    <row r="1" spans="1:7" ht="13.2" x14ac:dyDescent="0.25">
      <c r="A1" s="49" t="s">
        <v>40</v>
      </c>
    </row>
    <row r="2" spans="1:7" ht="20.100000000000001" customHeight="1" x14ac:dyDescent="0.25">
      <c r="A2" s="241" t="s">
        <v>32</v>
      </c>
      <c r="B2" s="242"/>
      <c r="C2" s="242"/>
      <c r="D2" s="37"/>
      <c r="E2" s="37"/>
      <c r="F2" s="37"/>
      <c r="G2" s="37"/>
    </row>
    <row r="3" spans="1:7" x14ac:dyDescent="0.25">
      <c r="A3" s="44" t="s">
        <v>36</v>
      </c>
      <c r="B3" s="42"/>
      <c r="C3" s="42"/>
      <c r="D3" s="37"/>
      <c r="E3" s="37"/>
      <c r="F3" s="37"/>
      <c r="G3" s="37"/>
    </row>
    <row r="4" spans="1:7" x14ac:dyDescent="0.25">
      <c r="A4" s="44" t="s">
        <v>34</v>
      </c>
      <c r="B4" s="42"/>
      <c r="C4" s="42"/>
      <c r="D4" s="37"/>
      <c r="E4" s="37"/>
      <c r="F4" s="37"/>
      <c r="G4" s="37"/>
    </row>
    <row r="5" spans="1:7" ht="3" customHeight="1" x14ac:dyDescent="0.25"/>
    <row r="6" spans="1:7" ht="20.100000000000001" hidden="1" customHeight="1" x14ac:dyDescent="0.3">
      <c r="A6" s="3" t="s">
        <v>6</v>
      </c>
    </row>
    <row r="7" spans="1:7" ht="20.100000000000001" hidden="1" customHeight="1" x14ac:dyDescent="0.25">
      <c r="A7" s="15" t="s">
        <v>2</v>
      </c>
      <c r="B7" s="9" t="s">
        <v>3</v>
      </c>
    </row>
    <row r="8" spans="1:7" ht="20.100000000000001" hidden="1" customHeight="1" x14ac:dyDescent="0.25">
      <c r="A8" s="6" t="s">
        <v>28</v>
      </c>
      <c r="B8" s="10" t="s">
        <v>30</v>
      </c>
      <c r="C8" s="32">
        <v>2.4369999999999998</v>
      </c>
      <c r="E8" s="24"/>
      <c r="F8" s="25"/>
      <c r="G8" s="25"/>
    </row>
    <row r="9" spans="1:7" ht="20.100000000000001" hidden="1" customHeight="1" x14ac:dyDescent="0.25">
      <c r="A9" s="6" t="s">
        <v>23</v>
      </c>
      <c r="B9" s="10" t="s">
        <v>30</v>
      </c>
      <c r="C9" s="32">
        <v>3.2250000000000001</v>
      </c>
      <c r="E9" s="26"/>
      <c r="F9" s="24"/>
      <c r="G9" s="24"/>
    </row>
    <row r="10" spans="1:7" ht="20.100000000000001" hidden="1" customHeight="1" x14ac:dyDescent="0.25">
      <c r="A10" s="6" t="s">
        <v>29</v>
      </c>
      <c r="B10" s="10" t="s">
        <v>12</v>
      </c>
      <c r="C10" s="41">
        <v>169.47</v>
      </c>
    </row>
    <row r="11" spans="1:7" ht="20.100000000000001" hidden="1" customHeight="1" x14ac:dyDescent="0.25">
      <c r="A11" s="6" t="s">
        <v>11</v>
      </c>
      <c r="B11" s="10" t="s">
        <v>12</v>
      </c>
      <c r="C11" s="41">
        <v>141</v>
      </c>
      <c r="E11" s="24"/>
      <c r="F11" s="24"/>
    </row>
    <row r="12" spans="1:7" ht="20.100000000000001" hidden="1" customHeight="1" x14ac:dyDescent="0.25">
      <c r="A12" s="8" t="s">
        <v>7</v>
      </c>
      <c r="B12" s="7" t="s">
        <v>18</v>
      </c>
      <c r="C12" s="34">
        <v>7000</v>
      </c>
    </row>
    <row r="13" spans="1:7" ht="20.100000000000001" hidden="1" customHeight="1" x14ac:dyDescent="0.25">
      <c r="A13" s="8" t="s">
        <v>8</v>
      </c>
      <c r="B13" s="7" t="s">
        <v>18</v>
      </c>
      <c r="C13" s="34">
        <v>21000</v>
      </c>
    </row>
    <row r="14" spans="1:7" ht="20.100000000000001" hidden="1" customHeight="1" x14ac:dyDescent="0.25">
      <c r="A14" s="8" t="s">
        <v>14</v>
      </c>
      <c r="B14" s="4" t="s">
        <v>13</v>
      </c>
      <c r="C14" s="34">
        <v>1.2999999999999999E-2</v>
      </c>
    </row>
    <row r="15" spans="1:7" ht="12" hidden="1" customHeight="1" x14ac:dyDescent="0.25">
      <c r="E15" s="4" t="s">
        <v>9</v>
      </c>
      <c r="F15" s="4" t="s">
        <v>10</v>
      </c>
    </row>
    <row r="16" spans="1:7" ht="20.100000000000001" customHeight="1" x14ac:dyDescent="0.3">
      <c r="A16" s="3" t="s">
        <v>0</v>
      </c>
      <c r="C16" s="46" t="s">
        <v>31</v>
      </c>
      <c r="E16" s="4">
        <v>0</v>
      </c>
      <c r="F16" s="5">
        <v>1</v>
      </c>
    </row>
    <row r="17" spans="1:6" ht="15.9" customHeight="1" x14ac:dyDescent="0.25">
      <c r="A17" s="11" t="s">
        <v>2</v>
      </c>
      <c r="B17" s="17" t="s">
        <v>3</v>
      </c>
      <c r="E17" s="4">
        <v>5</v>
      </c>
      <c r="F17" s="5">
        <v>0.79700000000000004</v>
      </c>
    </row>
    <row r="18" spans="1:6" ht="15.9" customHeight="1" x14ac:dyDescent="0.25">
      <c r="A18" s="6" t="s">
        <v>24</v>
      </c>
      <c r="B18" s="10" t="s">
        <v>4</v>
      </c>
      <c r="C18" s="27">
        <v>5</v>
      </c>
      <c r="E18" s="4">
        <v>10</v>
      </c>
      <c r="F18" s="5">
        <v>0.78800000000000003</v>
      </c>
    </row>
    <row r="19" spans="1:6" ht="15.9" customHeight="1" x14ac:dyDescent="0.25">
      <c r="A19" s="6" t="s">
        <v>25</v>
      </c>
      <c r="B19" s="10" t="s">
        <v>4</v>
      </c>
      <c r="C19" s="28">
        <v>80</v>
      </c>
      <c r="E19" s="4">
        <v>15</v>
      </c>
      <c r="F19" s="5">
        <v>0.77300000000000002</v>
      </c>
    </row>
    <row r="20" spans="1:6" ht="15.9" customHeight="1" x14ac:dyDescent="0.25">
      <c r="A20" s="6" t="s">
        <v>1</v>
      </c>
      <c r="B20" s="10" t="s">
        <v>5</v>
      </c>
      <c r="C20" s="29">
        <v>1.3</v>
      </c>
      <c r="E20" s="4">
        <v>20</v>
      </c>
      <c r="F20" s="5">
        <v>0.752</v>
      </c>
    </row>
    <row r="21" spans="1:6" ht="15.9" customHeight="1" x14ac:dyDescent="0.25">
      <c r="A21" s="38" t="s">
        <v>22</v>
      </c>
      <c r="B21" s="18"/>
      <c r="C21" s="31">
        <v>200</v>
      </c>
      <c r="E21" s="4">
        <v>25</v>
      </c>
      <c r="F21" s="5">
        <v>0.72499999999999998</v>
      </c>
    </row>
    <row r="22" spans="1:6" ht="15.9" customHeight="1" x14ac:dyDescent="0.25">
      <c r="A22" s="39" t="s">
        <v>20</v>
      </c>
      <c r="B22" s="19"/>
      <c r="C22" s="12"/>
      <c r="E22" s="4">
        <v>30</v>
      </c>
      <c r="F22" s="5">
        <v>0.69299999999999995</v>
      </c>
    </row>
    <row r="23" spans="1:6" ht="15.9" customHeight="1" x14ac:dyDescent="0.25">
      <c r="A23" s="40" t="s">
        <v>21</v>
      </c>
      <c r="B23" s="20"/>
      <c r="C23" s="1"/>
      <c r="E23" s="4">
        <v>35</v>
      </c>
      <c r="F23" s="5">
        <v>0.54600000000000004</v>
      </c>
    </row>
    <row r="24" spans="1:6" ht="15.9" customHeight="1" x14ac:dyDescent="0.25">
      <c r="A24" s="16" t="s">
        <v>26</v>
      </c>
      <c r="B24" s="30">
        <v>35</v>
      </c>
      <c r="C24" s="33">
        <f>VLOOKUP(B24,E16:F23,2)</f>
        <v>0.54600000000000004</v>
      </c>
      <c r="E24" s="35"/>
      <c r="F24" s="36"/>
    </row>
    <row r="25" spans="1:6" ht="12" customHeight="1" x14ac:dyDescent="0.25"/>
    <row r="26" spans="1:6" ht="20.100000000000001" customHeight="1" x14ac:dyDescent="0.3">
      <c r="A26" s="3" t="s">
        <v>19</v>
      </c>
      <c r="B26" s="14" t="s">
        <v>16</v>
      </c>
      <c r="C26" s="14" t="s">
        <v>17</v>
      </c>
    </row>
    <row r="27" spans="1:6" ht="20.100000000000001" hidden="1" customHeight="1" x14ac:dyDescent="0.3">
      <c r="A27" s="13" t="s">
        <v>15</v>
      </c>
      <c r="B27" s="21">
        <f>(C20*(C24*C19+C18))+C8</f>
        <v>65.721000000000018</v>
      </c>
      <c r="C27" s="21">
        <f>C20*(C24*C19+C18)+C8+C9</f>
        <v>68.946000000000012</v>
      </c>
    </row>
    <row r="28" spans="1:6" ht="20.100000000000001" customHeight="1" x14ac:dyDescent="0.3">
      <c r="A28" s="13" t="s">
        <v>27</v>
      </c>
      <c r="B28" s="22">
        <f>((C10*C12*10000/(C21*C14*B27))^(1/3))/100</f>
        <v>4.1099618078398361</v>
      </c>
      <c r="C28" s="23">
        <f>((((C10*C12)+(C11*C12))*10000/(C21*C14*C27))^(1/3))/100</f>
        <v>4.949314895021228</v>
      </c>
    </row>
    <row r="29" spans="1:6" ht="20.100000000000001" customHeight="1" x14ac:dyDescent="0.25"/>
    <row r="30" spans="1:6" ht="20.100000000000001" customHeight="1" x14ac:dyDescent="0.25"/>
    <row r="31" spans="1:6" ht="20.100000000000001" customHeight="1" x14ac:dyDescent="0.25"/>
    <row r="32" spans="1:6" ht="20.100000000000001" customHeight="1" x14ac:dyDescent="0.25"/>
    <row r="33" spans="3:3" ht="20.100000000000001" customHeight="1" x14ac:dyDescent="0.25"/>
    <row r="34" spans="3:3" ht="20.100000000000001" customHeight="1" x14ac:dyDescent="0.25"/>
    <row r="35" spans="3:3" ht="20.100000000000001" customHeight="1" x14ac:dyDescent="0.25"/>
    <row r="36" spans="3:3" ht="20.100000000000001" customHeight="1" x14ac:dyDescent="0.25"/>
    <row r="37" spans="3:3" ht="20.100000000000001" customHeight="1" x14ac:dyDescent="0.25"/>
    <row r="38" spans="3:3" ht="20.100000000000001" customHeight="1" x14ac:dyDescent="0.25"/>
    <row r="39" spans="3:3" ht="20.100000000000001" customHeight="1" x14ac:dyDescent="0.3">
      <c r="C39" s="2"/>
    </row>
    <row r="40" spans="3:3" ht="20.100000000000001" customHeight="1" x14ac:dyDescent="0.25"/>
    <row r="41" spans="3:3" ht="20.100000000000001" customHeight="1" x14ac:dyDescent="0.25"/>
    <row r="42" spans="3:3" ht="20.100000000000001" customHeight="1" x14ac:dyDescent="0.25"/>
    <row r="43" spans="3:3" ht="20.100000000000001" customHeight="1" x14ac:dyDescent="0.25"/>
    <row r="44" spans="3:3" ht="20.100000000000001" customHeight="1" x14ac:dyDescent="0.25"/>
    <row r="45" spans="3:3" ht="20.100000000000001" customHeight="1" x14ac:dyDescent="0.25"/>
    <row r="46" spans="3:3" ht="20.100000000000001" customHeight="1" x14ac:dyDescent="0.25"/>
    <row r="47" spans="3:3" ht="20.100000000000001" customHeight="1" x14ac:dyDescent="0.25"/>
    <row r="48" spans="3:3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</sheetData>
  <sheetProtection sheet="1" objects="1" scenarios="1"/>
  <mergeCells count="1">
    <mergeCell ref="A2:C2"/>
  </mergeCells>
  <phoneticPr fontId="0" type="noConversion"/>
  <pageMargins left="0" right="0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Y54"/>
  <sheetViews>
    <sheetView tabSelected="1" workbookViewId="0">
      <selection activeCell="Z35" sqref="Z35"/>
    </sheetView>
  </sheetViews>
  <sheetFormatPr baseColWidth="10" defaultRowHeight="12.6" x14ac:dyDescent="0.25"/>
  <cols>
    <col min="1" max="1" width="1.6640625" customWidth="1"/>
    <col min="2" max="2" width="39.109375" bestFit="1" customWidth="1"/>
    <col min="3" max="4" width="15.77734375" customWidth="1"/>
    <col min="5" max="5" width="1.6640625" customWidth="1"/>
    <col min="6" max="7" width="10.77734375" hidden="1" customWidth="1"/>
    <col min="8" max="8" width="15.33203125" hidden="1" customWidth="1"/>
    <col min="9" max="10" width="5.77734375" hidden="1" customWidth="1"/>
    <col min="11" max="25" width="6.77734375" hidden="1" customWidth="1"/>
  </cols>
  <sheetData>
    <row r="1" spans="2:25" ht="13.2" x14ac:dyDescent="0.25">
      <c r="B1" s="49" t="s">
        <v>70</v>
      </c>
    </row>
    <row r="2" spans="2:25" ht="18" customHeight="1" x14ac:dyDescent="0.25">
      <c r="B2" s="241" t="s">
        <v>71</v>
      </c>
      <c r="C2" s="242"/>
      <c r="D2" s="242"/>
      <c r="E2" s="37"/>
      <c r="F2" s="37"/>
      <c r="G2" s="37"/>
      <c r="H2" s="37"/>
    </row>
    <row r="3" spans="2:25" ht="18" customHeight="1" x14ac:dyDescent="0.25">
      <c r="B3" s="44" t="s">
        <v>39</v>
      </c>
      <c r="C3" s="47"/>
      <c r="D3" s="47"/>
      <c r="E3" s="37"/>
      <c r="F3" s="37"/>
      <c r="G3" s="37"/>
      <c r="H3" s="37"/>
    </row>
    <row r="4" spans="2:25" ht="18" customHeight="1" x14ac:dyDescent="0.25">
      <c r="B4" s="52" t="s">
        <v>37</v>
      </c>
    </row>
    <row r="5" spans="2:25" ht="4.95" customHeight="1" x14ac:dyDescent="0.25"/>
    <row r="6" spans="2:25" ht="18" hidden="1" customHeight="1" x14ac:dyDescent="0.3">
      <c r="B6" s="3" t="s">
        <v>6</v>
      </c>
    </row>
    <row r="7" spans="2:25" ht="18" hidden="1" customHeight="1" x14ac:dyDescent="0.25">
      <c r="B7" s="15" t="s">
        <v>2</v>
      </c>
      <c r="C7" s="9" t="s">
        <v>3</v>
      </c>
    </row>
    <row r="8" spans="2:25" ht="18" hidden="1" customHeight="1" thickBot="1" x14ac:dyDescent="0.3">
      <c r="B8" s="6" t="s">
        <v>28</v>
      </c>
      <c r="C8" s="10" t="s">
        <v>30</v>
      </c>
      <c r="D8" s="92">
        <v>2.5819999999999999</v>
      </c>
      <c r="F8" s="24"/>
      <c r="G8" s="25"/>
      <c r="H8" s="25"/>
      <c r="I8" s="81" t="s">
        <v>68</v>
      </c>
    </row>
    <row r="9" spans="2:25" ht="18" hidden="1" customHeight="1" x14ac:dyDescent="0.25">
      <c r="B9" s="6" t="s">
        <v>23</v>
      </c>
      <c r="C9" s="10" t="s">
        <v>30</v>
      </c>
      <c r="D9" s="92">
        <v>5.3689999999999998</v>
      </c>
      <c r="F9" s="26"/>
      <c r="G9" s="24"/>
      <c r="H9" s="24"/>
      <c r="I9" s="247" t="s">
        <v>46</v>
      </c>
      <c r="J9" s="248"/>
      <c r="K9" s="148">
        <v>0.6</v>
      </c>
      <c r="L9" s="149">
        <v>0.6</v>
      </c>
      <c r="M9" s="150">
        <v>0.6</v>
      </c>
      <c r="N9" s="149">
        <v>0.6</v>
      </c>
      <c r="O9" s="181">
        <v>0.7</v>
      </c>
      <c r="P9" s="149">
        <v>0.7</v>
      </c>
      <c r="Q9" s="149">
        <v>0.7</v>
      </c>
      <c r="R9" s="149">
        <v>0.7</v>
      </c>
      <c r="S9" s="150">
        <v>0.7</v>
      </c>
      <c r="T9" s="149">
        <v>0.7</v>
      </c>
      <c r="U9" s="152">
        <v>0.7</v>
      </c>
      <c r="V9" s="149">
        <v>0.8</v>
      </c>
      <c r="W9" s="149">
        <v>0.8</v>
      </c>
      <c r="X9" s="150">
        <v>0.8</v>
      </c>
      <c r="Y9" s="152">
        <v>0.8</v>
      </c>
    </row>
    <row r="10" spans="2:25" ht="18" hidden="1" customHeight="1" x14ac:dyDescent="0.25">
      <c r="B10" s="6" t="s">
        <v>29</v>
      </c>
      <c r="C10" s="10" t="s">
        <v>12</v>
      </c>
      <c r="D10" s="95">
        <v>176.36</v>
      </c>
      <c r="I10" s="153" t="s">
        <v>9</v>
      </c>
      <c r="J10" s="118"/>
      <c r="K10" s="75">
        <v>5</v>
      </c>
      <c r="L10" s="76">
        <v>15</v>
      </c>
      <c r="M10" s="76">
        <v>25</v>
      </c>
      <c r="N10" s="85">
        <v>35</v>
      </c>
      <c r="O10" s="183">
        <v>5</v>
      </c>
      <c r="P10" s="86">
        <v>10</v>
      </c>
      <c r="Q10" s="76">
        <v>15</v>
      </c>
      <c r="R10" s="76">
        <v>20</v>
      </c>
      <c r="S10" s="76">
        <v>25</v>
      </c>
      <c r="T10" s="85">
        <v>30</v>
      </c>
      <c r="U10" s="154">
        <v>35</v>
      </c>
      <c r="V10" s="86">
        <v>5</v>
      </c>
      <c r="W10" s="76">
        <v>15</v>
      </c>
      <c r="X10" s="76">
        <v>25</v>
      </c>
      <c r="Y10" s="154">
        <v>35</v>
      </c>
    </row>
    <row r="11" spans="2:25" ht="18" hidden="1" customHeight="1" x14ac:dyDescent="0.25">
      <c r="B11" s="6" t="s">
        <v>11</v>
      </c>
      <c r="C11" s="10" t="s">
        <v>12</v>
      </c>
      <c r="D11" s="95">
        <v>55.853000000000002</v>
      </c>
      <c r="F11" s="24"/>
      <c r="G11" s="24"/>
      <c r="I11" s="249" t="s">
        <v>45</v>
      </c>
      <c r="J11" s="80">
        <v>45</v>
      </c>
      <c r="K11" s="104">
        <f>1.14*((($D$10*$D$12*10000/($D$21*$D$14*((K$9*(((VLOOKUP(K$10,$F$16:$G$26,2))*$J11))+((K$9-0.022)*($D$18/COS(K$10*PI()/180))))+(($D$8)/COS(K$10*PI()/180)))))^(1/3))/100)</f>
        <v>5.1906325016747985</v>
      </c>
      <c r="L11" s="104">
        <f t="shared" ref="K11:Y15" si="0">1.14*((($D$10*$D$12*10000/($D$21*$D$14*((L$9*(((VLOOKUP(L$10,$F$16:$G$26,2))*$J11))+((L$9-0.022)*($D$18/COS(L$10*PI()/180))))+(($D$8)/COS(L$10*PI()/180)))))^(1/3))/100)</f>
        <v>5.1600595678649865</v>
      </c>
      <c r="M11" s="104">
        <f t="shared" si="0"/>
        <v>5.0962579102176102</v>
      </c>
      <c r="N11" s="207">
        <f t="shared" si="0"/>
        <v>5.1040613169823494</v>
      </c>
      <c r="O11" s="215">
        <f t="shared" si="0"/>
        <v>4.9381378699885419</v>
      </c>
      <c r="P11" s="106">
        <f t="shared" si="0"/>
        <v>4.92736258562873</v>
      </c>
      <c r="Q11" s="106">
        <f t="shared" si="0"/>
        <v>4.9091507679444373</v>
      </c>
      <c r="R11" s="106">
        <f t="shared" si="0"/>
        <v>4.883108097631272</v>
      </c>
      <c r="S11" s="106">
        <f t="shared" si="0"/>
        <v>4.8486511025433101</v>
      </c>
      <c r="T11" s="106">
        <f t="shared" si="0"/>
        <v>4.8049710844849471</v>
      </c>
      <c r="U11" s="216">
        <f t="shared" si="0"/>
        <v>4.856931786842388</v>
      </c>
      <c r="V11" s="210">
        <f t="shared" si="0"/>
        <v>4.7285548346665998</v>
      </c>
      <c r="W11" s="104">
        <f t="shared" si="0"/>
        <v>4.7008694022899498</v>
      </c>
      <c r="X11" s="104">
        <f t="shared" si="0"/>
        <v>4.6430811173355346</v>
      </c>
      <c r="Y11" s="155">
        <f t="shared" si="0"/>
        <v>4.6516313095778763</v>
      </c>
    </row>
    <row r="12" spans="2:25" ht="18" hidden="1" customHeight="1" x14ac:dyDescent="0.25">
      <c r="B12" s="8" t="s">
        <v>7</v>
      </c>
      <c r="C12" s="7" t="s">
        <v>18</v>
      </c>
      <c r="D12" s="94">
        <v>7000</v>
      </c>
      <c r="I12" s="250"/>
      <c r="J12" s="69">
        <v>55</v>
      </c>
      <c r="K12" s="144">
        <f t="shared" si="0"/>
        <v>5.0353080958894134</v>
      </c>
      <c r="L12" s="144">
        <f t="shared" si="0"/>
        <v>5.0082059045410423</v>
      </c>
      <c r="M12" s="144">
        <f t="shared" si="0"/>
        <v>4.9514702522214176</v>
      </c>
      <c r="N12" s="208">
        <f t="shared" si="0"/>
        <v>4.9815504033224434</v>
      </c>
      <c r="O12" s="215">
        <f t="shared" si="0"/>
        <v>4.7897350783346404</v>
      </c>
      <c r="P12" s="106">
        <f t="shared" si="0"/>
        <v>4.7801942196955185</v>
      </c>
      <c r="Q12" s="106">
        <f t="shared" si="0"/>
        <v>4.764052271105621</v>
      </c>
      <c r="R12" s="106">
        <f t="shared" si="0"/>
        <v>4.7409336695521249</v>
      </c>
      <c r="S12" s="106">
        <f t="shared" si="0"/>
        <v>4.7102812012383</v>
      </c>
      <c r="T12" s="106">
        <f t="shared" si="0"/>
        <v>4.6713198393285147</v>
      </c>
      <c r="U12" s="216">
        <f t="shared" si="0"/>
        <v>4.7397668045715138</v>
      </c>
      <c r="V12" s="211">
        <f t="shared" si="0"/>
        <v>4.5859917381836279</v>
      </c>
      <c r="W12" s="144">
        <f t="shared" si="0"/>
        <v>4.5614720198565335</v>
      </c>
      <c r="X12" s="144">
        <f t="shared" si="0"/>
        <v>4.5101311913367166</v>
      </c>
      <c r="Y12" s="156">
        <f t="shared" si="0"/>
        <v>4.53899432703522</v>
      </c>
    </row>
    <row r="13" spans="2:25" ht="18" hidden="1" customHeight="1" x14ac:dyDescent="0.25">
      <c r="B13" s="8" t="s">
        <v>8</v>
      </c>
      <c r="C13" s="7" t="s">
        <v>18</v>
      </c>
      <c r="D13" s="94">
        <v>21000</v>
      </c>
      <c r="I13" s="250"/>
      <c r="J13" s="69">
        <v>65</v>
      </c>
      <c r="K13" s="144">
        <f t="shared" si="0"/>
        <v>4.8970502889903402</v>
      </c>
      <c r="L13" s="144">
        <f t="shared" si="0"/>
        <v>4.8727835195036917</v>
      </c>
      <c r="M13" s="144">
        <f t="shared" si="0"/>
        <v>4.8218495291093291</v>
      </c>
      <c r="N13" s="208">
        <f t="shared" si="0"/>
        <v>4.870014487482246</v>
      </c>
      <c r="O13" s="215">
        <f t="shared" si="0"/>
        <v>4.657702585363678</v>
      </c>
      <c r="P13" s="106">
        <f t="shared" si="0"/>
        <v>4.6491682929266647</v>
      </c>
      <c r="Q13" s="106">
        <f t="shared" si="0"/>
        <v>4.6347169218066187</v>
      </c>
      <c r="R13" s="106">
        <f t="shared" si="0"/>
        <v>4.6139925446138967</v>
      </c>
      <c r="S13" s="106">
        <f t="shared" si="0"/>
        <v>4.5864657891387504</v>
      </c>
      <c r="T13" s="106">
        <f t="shared" si="0"/>
        <v>4.5513979785679224</v>
      </c>
      <c r="U13" s="216">
        <f t="shared" si="0"/>
        <v>4.6331471208111523</v>
      </c>
      <c r="V13" s="211">
        <f t="shared" si="0"/>
        <v>4.4592013590118471</v>
      </c>
      <c r="W13" s="144">
        <f t="shared" si="0"/>
        <v>4.4372640044280764</v>
      </c>
      <c r="X13" s="144">
        <f t="shared" si="0"/>
        <v>4.3912090823899481</v>
      </c>
      <c r="Y13" s="156">
        <f t="shared" si="0"/>
        <v>4.4365308789436559</v>
      </c>
    </row>
    <row r="14" spans="2:25" ht="18" hidden="1" customHeight="1" x14ac:dyDescent="0.25">
      <c r="B14" s="8" t="s">
        <v>14</v>
      </c>
      <c r="C14" s="4" t="s">
        <v>13</v>
      </c>
      <c r="D14" s="94">
        <v>1.2999999999999999E-2</v>
      </c>
      <c r="I14" s="250"/>
      <c r="J14" s="69">
        <v>90</v>
      </c>
      <c r="K14" s="144">
        <f t="shared" si="0"/>
        <v>4.6078786369089615</v>
      </c>
      <c r="L14" s="144">
        <f t="shared" si="0"/>
        <v>4.5888242664300405</v>
      </c>
      <c r="M14" s="144">
        <f t="shared" si="0"/>
        <v>4.5486271892688928</v>
      </c>
      <c r="N14" s="208">
        <f t="shared" si="0"/>
        <v>4.6293719558455519</v>
      </c>
      <c r="O14" s="215">
        <f t="shared" si="0"/>
        <v>4.3817320592983915</v>
      </c>
      <c r="P14" s="106">
        <f t="shared" si="0"/>
        <v>4.3750435394378906</v>
      </c>
      <c r="Q14" s="106">
        <f t="shared" si="0"/>
        <v>4.3636990004830212</v>
      </c>
      <c r="R14" s="106">
        <f t="shared" si="0"/>
        <v>4.3473891951579375</v>
      </c>
      <c r="S14" s="106">
        <f t="shared" si="0"/>
        <v>4.3256518428739525</v>
      </c>
      <c r="T14" s="106">
        <f t="shared" si="0"/>
        <v>4.2978375306305336</v>
      </c>
      <c r="U14" s="216">
        <f t="shared" si="0"/>
        <v>4.40326117122253</v>
      </c>
      <c r="V14" s="211">
        <f t="shared" si="0"/>
        <v>4.1943186137195685</v>
      </c>
      <c r="W14" s="144">
        <f t="shared" si="0"/>
        <v>4.1771190603123154</v>
      </c>
      <c r="X14" s="144">
        <f t="shared" si="0"/>
        <v>4.1408271417488391</v>
      </c>
      <c r="Y14" s="156">
        <f t="shared" si="0"/>
        <v>4.2157149510993106</v>
      </c>
    </row>
    <row r="15" spans="2:25" ht="18" hidden="1" customHeight="1" thickBot="1" x14ac:dyDescent="0.3">
      <c r="F15" s="53" t="s">
        <v>9</v>
      </c>
      <c r="G15" s="53" t="s">
        <v>10</v>
      </c>
      <c r="I15" s="251"/>
      <c r="J15" s="157">
        <v>140</v>
      </c>
      <c r="K15" s="158">
        <f t="shared" si="0"/>
        <v>4.1860563755932914</v>
      </c>
      <c r="L15" s="158">
        <f t="shared" si="0"/>
        <v>4.1730514343770517</v>
      </c>
      <c r="M15" s="158">
        <f t="shared" si="0"/>
        <v>4.1454402799672456</v>
      </c>
      <c r="N15" s="209">
        <f t="shared" si="0"/>
        <v>4.2613921136585606</v>
      </c>
      <c r="O15" s="217">
        <f t="shared" si="0"/>
        <v>3.9795549568803508</v>
      </c>
      <c r="P15" s="218">
        <f t="shared" si="0"/>
        <v>3.9750007032960202</v>
      </c>
      <c r="Q15" s="218">
        <f t="shared" si="0"/>
        <v>3.9672602082359401</v>
      </c>
      <c r="R15" s="218">
        <f t="shared" si="0"/>
        <v>3.956096763521344</v>
      </c>
      <c r="S15" s="218">
        <f t="shared" si="0"/>
        <v>3.9411540771880587</v>
      </c>
      <c r="T15" s="218">
        <f t="shared" si="0"/>
        <v>3.9219269848563423</v>
      </c>
      <c r="U15" s="219">
        <f t="shared" si="0"/>
        <v>4.0520865843942673</v>
      </c>
      <c r="V15" s="212">
        <f t="shared" si="0"/>
        <v>3.8085807766830158</v>
      </c>
      <c r="W15" s="158">
        <f t="shared" si="0"/>
        <v>3.7968637326957424</v>
      </c>
      <c r="X15" s="158">
        <f t="shared" si="0"/>
        <v>3.7719822597085026</v>
      </c>
      <c r="Y15" s="159">
        <f t="shared" si="0"/>
        <v>3.8786542762541671</v>
      </c>
    </row>
    <row r="16" spans="2:25" ht="18" customHeight="1" thickBot="1" x14ac:dyDescent="0.35">
      <c r="B16" s="3" t="s">
        <v>0</v>
      </c>
      <c r="F16" s="61">
        <v>5</v>
      </c>
      <c r="G16" s="62">
        <v>0.8</v>
      </c>
      <c r="I16" s="81" t="s">
        <v>69</v>
      </c>
    </row>
    <row r="17" spans="2:25" ht="18" customHeight="1" x14ac:dyDescent="0.25">
      <c r="B17" s="11" t="s">
        <v>2</v>
      </c>
      <c r="C17" s="17" t="s">
        <v>3</v>
      </c>
      <c r="D17" s="96" t="s">
        <v>31</v>
      </c>
      <c r="F17" s="54">
        <v>10</v>
      </c>
      <c r="G17" s="55">
        <v>0.8</v>
      </c>
      <c r="I17" s="252" t="s">
        <v>45</v>
      </c>
      <c r="J17" s="160">
        <v>45</v>
      </c>
      <c r="K17" s="161">
        <f t="shared" ref="K17:Y17" si="1">1.18*((((($D$10*$D$12)+($D$11*$D$13))*10000/($D$21*$D$14*((K$9*(((VLOOKUP(K$10,$F$16:$G$26,2))*$J11))+((K$9-0.022)*($D$18/COS(K$10*PI()/180))))+(($D$8+$D$9)/COS(K$10*PI()/180)))))^(1/3))/100)</f>
        <v>6.4885551835415818</v>
      </c>
      <c r="L17" s="161">
        <f t="shared" si="1"/>
        <v>6.4475890051687799</v>
      </c>
      <c r="M17" s="161">
        <f t="shared" si="1"/>
        <v>6.3623201173417403</v>
      </c>
      <c r="N17" s="201">
        <f t="shared" si="1"/>
        <v>6.3484898327676156</v>
      </c>
      <c r="O17" s="220">
        <f t="shared" si="1"/>
        <v>6.2008435925832384</v>
      </c>
      <c r="P17" s="221">
        <f t="shared" si="1"/>
        <v>6.1864500476381901</v>
      </c>
      <c r="Q17" s="221">
        <f t="shared" si="1"/>
        <v>6.1621410222113511</v>
      </c>
      <c r="R17" s="221">
        <f t="shared" si="1"/>
        <v>6.1274187634973289</v>
      </c>
      <c r="S17" s="221">
        <f t="shared" si="1"/>
        <v>6.0815480642091773</v>
      </c>
      <c r="T17" s="221">
        <f t="shared" si="1"/>
        <v>6.0235122842790672</v>
      </c>
      <c r="U17" s="222">
        <f t="shared" si="1"/>
        <v>6.0721304912346907</v>
      </c>
      <c r="V17" s="204">
        <f t="shared" si="1"/>
        <v>5.9582052728401669</v>
      </c>
      <c r="W17" s="161">
        <f t="shared" si="1"/>
        <v>5.9213498611135726</v>
      </c>
      <c r="X17" s="161">
        <f t="shared" si="1"/>
        <v>5.8445770557933487</v>
      </c>
      <c r="Y17" s="162">
        <f t="shared" si="1"/>
        <v>5.8383654948429795</v>
      </c>
    </row>
    <row r="18" spans="2:25" ht="18" customHeight="1" x14ac:dyDescent="0.25">
      <c r="B18" s="6" t="s">
        <v>24</v>
      </c>
      <c r="C18" s="7" t="s">
        <v>4</v>
      </c>
      <c r="D18" s="97">
        <v>45</v>
      </c>
      <c r="F18" s="54">
        <v>15</v>
      </c>
      <c r="G18" s="55">
        <v>0.8</v>
      </c>
      <c r="I18" s="253"/>
      <c r="J18" s="146">
        <v>55</v>
      </c>
      <c r="K18" s="145">
        <f t="shared" ref="K18:Y18" si="2">1.18*((((($D$10*$D$12)+($D$11*$D$13))*10000/($D$21*$D$14*((K$9*(((VLOOKUP(K$10,$F$16:$G$26,2))*$J12))+((K$9-0.022)*($D$18/COS(K$10*PI()/180))))+(($D$8+$D$9)/COS(K$10*PI()/180)))))^(1/3))/100)</f>
        <v>6.3121798325851657</v>
      </c>
      <c r="L18" s="145">
        <f t="shared" si="2"/>
        <v>6.2754529125623844</v>
      </c>
      <c r="M18" s="145">
        <f t="shared" si="2"/>
        <v>6.198774954196673</v>
      </c>
      <c r="N18" s="202">
        <f t="shared" si="2"/>
        <v>6.2121964137521104</v>
      </c>
      <c r="O18" s="223">
        <f t="shared" si="2"/>
        <v>6.0293796214069593</v>
      </c>
      <c r="P18" s="109">
        <f t="shared" si="2"/>
        <v>6.0165084630045627</v>
      </c>
      <c r="Q18" s="109">
        <f t="shared" si="2"/>
        <v>5.9947487760308</v>
      </c>
      <c r="R18" s="109">
        <f t="shared" si="2"/>
        <v>5.9636206999304937</v>
      </c>
      <c r="S18" s="109">
        <f t="shared" si="2"/>
        <v>5.9224137303020887</v>
      </c>
      <c r="T18" s="109">
        <f t="shared" si="2"/>
        <v>5.8701422726184997</v>
      </c>
      <c r="U18" s="224">
        <f t="shared" si="2"/>
        <v>5.9391703578775168</v>
      </c>
      <c r="V18" s="205">
        <f t="shared" si="2"/>
        <v>5.7912898411987594</v>
      </c>
      <c r="W18" s="145">
        <f t="shared" si="2"/>
        <v>5.7583608727973941</v>
      </c>
      <c r="X18" s="145">
        <f t="shared" si="2"/>
        <v>5.6895561796767291</v>
      </c>
      <c r="Y18" s="163">
        <f t="shared" si="2"/>
        <v>5.7085828526539819</v>
      </c>
    </row>
    <row r="19" spans="2:25" ht="18" customHeight="1" x14ac:dyDescent="0.25">
      <c r="B19" s="6" t="s">
        <v>25</v>
      </c>
      <c r="C19" s="7" t="s">
        <v>4</v>
      </c>
      <c r="D19" s="98">
        <v>45</v>
      </c>
      <c r="F19" s="54">
        <v>20</v>
      </c>
      <c r="G19" s="55">
        <v>0.8</v>
      </c>
      <c r="I19" s="253"/>
      <c r="J19" s="146">
        <v>65</v>
      </c>
      <c r="K19" s="145">
        <f t="shared" ref="K19:Y19" si="3">1.18*((((($D$10*$D$12)+($D$11*$D$13))*10000/($D$21*$D$14*((K$9*(((VLOOKUP(K$10,$F$16:$G$26,2))*$J13))+((K$9-0.022)*($D$18/COS(K$10*PI()/180))))+(($D$8+$D$9)/COS(K$10*PI()/180)))))^(1/3))/100)</f>
        <v>6.1535414397630541</v>
      </c>
      <c r="L19" s="145">
        <f t="shared" si="3"/>
        <v>6.1203414546892931</v>
      </c>
      <c r="M19" s="145">
        <f t="shared" si="3"/>
        <v>6.0508461946820971</v>
      </c>
      <c r="N19" s="202">
        <f t="shared" si="3"/>
        <v>6.0869011623136071</v>
      </c>
      <c r="O19" s="223">
        <f t="shared" si="3"/>
        <v>5.8754337058373771</v>
      </c>
      <c r="P19" s="109">
        <f t="shared" si="3"/>
        <v>5.8638238959756892</v>
      </c>
      <c r="Q19" s="109">
        <f t="shared" si="3"/>
        <v>5.8441798537888214</v>
      </c>
      <c r="R19" s="109">
        <f t="shared" si="3"/>
        <v>5.8160418669246479</v>
      </c>
      <c r="S19" s="109">
        <f t="shared" si="3"/>
        <v>5.7787277096784031</v>
      </c>
      <c r="T19" s="109">
        <f t="shared" si="3"/>
        <v>5.7312881809663336</v>
      </c>
      <c r="U19" s="224">
        <f t="shared" si="3"/>
        <v>5.8171402796050398</v>
      </c>
      <c r="V19" s="205">
        <f t="shared" si="3"/>
        <v>5.6416342104798742</v>
      </c>
      <c r="W19" s="145">
        <f t="shared" si="3"/>
        <v>5.6119538970201468</v>
      </c>
      <c r="X19" s="145">
        <f t="shared" si="3"/>
        <v>5.5497746638732632</v>
      </c>
      <c r="Y19" s="163">
        <f t="shared" si="3"/>
        <v>5.5896209968922079</v>
      </c>
    </row>
    <row r="20" spans="2:25" ht="18" customHeight="1" x14ac:dyDescent="0.25">
      <c r="B20" s="6" t="s">
        <v>1</v>
      </c>
      <c r="C20" s="7" t="s">
        <v>5</v>
      </c>
      <c r="D20" s="99">
        <v>0.7</v>
      </c>
      <c r="F20" s="54">
        <v>25</v>
      </c>
      <c r="G20" s="55">
        <v>0.8</v>
      </c>
      <c r="I20" s="253"/>
      <c r="J20" s="146">
        <v>90</v>
      </c>
      <c r="K20" s="145">
        <f t="shared" ref="K20:Y20" si="4">1.18*((((($D$10*$D$12)+($D$11*$D$13))*10000/($D$21*$D$14*((K$9*(((VLOOKUP(K$10,$F$16:$G$26,2))*$J14))+((K$9-0.022)*($D$18/COS(K$10*PI()/180))))+(($D$8+$D$9)/COS(K$10*PI()/180)))))^(1/3))/100)</f>
        <v>5.8170103045594264</v>
      </c>
      <c r="L20" s="145">
        <f t="shared" si="4"/>
        <v>5.7904543157999795</v>
      </c>
      <c r="M20" s="145">
        <f t="shared" si="4"/>
        <v>5.7345808564263177</v>
      </c>
      <c r="N20" s="202">
        <f t="shared" si="4"/>
        <v>5.8128017540030976</v>
      </c>
      <c r="O20" s="223">
        <f t="shared" si="4"/>
        <v>5.5496562767825983</v>
      </c>
      <c r="P20" s="109">
        <f t="shared" si="4"/>
        <v>5.5404093068902078</v>
      </c>
      <c r="Q20" s="109">
        <f t="shared" si="4"/>
        <v>5.5247371315707055</v>
      </c>
      <c r="R20" s="109">
        <f t="shared" si="4"/>
        <v>5.5022314208739651</v>
      </c>
      <c r="S20" s="109">
        <f t="shared" si="4"/>
        <v>5.472283225991422</v>
      </c>
      <c r="T20" s="109">
        <f t="shared" si="4"/>
        <v>5.4340397912984031</v>
      </c>
      <c r="U20" s="224">
        <f t="shared" si="4"/>
        <v>5.5508144632287681</v>
      </c>
      <c r="V20" s="205">
        <f t="shared" si="4"/>
        <v>5.3255326654515471</v>
      </c>
      <c r="W20" s="145">
        <f t="shared" si="4"/>
        <v>5.3019265171600596</v>
      </c>
      <c r="X20" s="145">
        <f t="shared" si="4"/>
        <v>5.2522187092557298</v>
      </c>
      <c r="Y20" s="163">
        <f t="shared" si="4"/>
        <v>5.3304660547313185</v>
      </c>
    </row>
    <row r="21" spans="2:25" ht="18" hidden="1" customHeight="1" thickBot="1" x14ac:dyDescent="0.3">
      <c r="B21" s="6" t="s">
        <v>22</v>
      </c>
      <c r="C21" s="6"/>
      <c r="D21" s="100">
        <v>200</v>
      </c>
      <c r="F21" s="54">
        <v>30</v>
      </c>
      <c r="G21" s="55">
        <f>0.8*(60-$F21)/30</f>
        <v>0.8</v>
      </c>
      <c r="I21" s="254"/>
      <c r="J21" s="164">
        <v>140</v>
      </c>
      <c r="K21" s="165">
        <f t="shared" ref="K21:Y21" si="5">1.18*((((($D$10*$D$12)+($D$11*$D$13))*10000/($D$21*$D$14*((K$9*(((VLOOKUP(K$10,$F$16:$G$26,2))*$J15))+((K$9-0.022)*($D$18/COS(K$10*PI()/180))))+(($D$8+$D$9)/COS(K$10*PI()/180)))))^(1/3))/100)</f>
        <v>5.3156013187236768</v>
      </c>
      <c r="L21" s="165">
        <f t="shared" si="5"/>
        <v>5.2970441898360097</v>
      </c>
      <c r="M21" s="165">
        <f t="shared" si="5"/>
        <v>5.2577391924809476</v>
      </c>
      <c r="N21" s="203">
        <f t="shared" si="5"/>
        <v>5.3843760615174316</v>
      </c>
      <c r="O21" s="225">
        <f t="shared" si="5"/>
        <v>5.0660625521718092</v>
      </c>
      <c r="P21" s="226">
        <f t="shared" ref="P21:U21" si="6">1.18*((((($D$10*$D$12)+($D$11*$D$13))*10000/($D$21*$D$14*((P$9*(((VLOOKUP(P$10,$F$16:$G$26,2))*$J15))+((P$9-0.022)*($D$18/COS(P$10*PI()/180))))+(($D$8+$D$9)/COS(P$10*PI()/180)))))^(1/3))/100)</f>
        <v>5.0596362162667043</v>
      </c>
      <c r="Q21" s="226">
        <f t="shared" si="6"/>
        <v>5.0487212048824768</v>
      </c>
      <c r="R21" s="226">
        <f t="shared" si="6"/>
        <v>5.0329955527807337</v>
      </c>
      <c r="S21" s="226">
        <f t="shared" si="6"/>
        <v>5.0119757516026739</v>
      </c>
      <c r="T21" s="226">
        <f t="shared" si="6"/>
        <v>4.9849783787197817</v>
      </c>
      <c r="U21" s="227">
        <f t="shared" si="6"/>
        <v>5.1361103292077983</v>
      </c>
      <c r="V21" s="206">
        <f t="shared" si="5"/>
        <v>4.8576319117793334</v>
      </c>
      <c r="W21" s="165">
        <f t="shared" si="5"/>
        <v>4.8412562758302728</v>
      </c>
      <c r="X21" s="165">
        <f t="shared" si="5"/>
        <v>4.8065459027236663</v>
      </c>
      <c r="Y21" s="166">
        <f t="shared" si="5"/>
        <v>4.9281020909312607</v>
      </c>
    </row>
    <row r="22" spans="2:25" ht="18" customHeight="1" x14ac:dyDescent="0.25">
      <c r="B22" s="101" t="s">
        <v>52</v>
      </c>
      <c r="C22" s="87"/>
      <c r="D22" s="116">
        <v>10</v>
      </c>
      <c r="F22" s="54">
        <v>31</v>
      </c>
      <c r="G22" s="55">
        <f t="shared" ref="G22:G26" si="7">0.8*(60-$F22)/30</f>
        <v>0.77333333333333343</v>
      </c>
      <c r="I22" s="78"/>
    </row>
    <row r="23" spans="2:25" ht="18" customHeight="1" x14ac:dyDescent="0.25">
      <c r="F23" s="56">
        <v>32</v>
      </c>
      <c r="G23" s="55">
        <f t="shared" si="7"/>
        <v>0.7466666666666667</v>
      </c>
      <c r="I23" s="172"/>
      <c r="J23" s="172"/>
      <c r="K23" s="175"/>
      <c r="L23" s="175"/>
      <c r="M23" s="176"/>
      <c r="N23" s="175"/>
      <c r="O23" s="175"/>
      <c r="P23" s="175"/>
      <c r="Q23" s="175"/>
      <c r="R23" s="175"/>
      <c r="S23" s="176"/>
      <c r="T23" s="176"/>
      <c r="U23" s="175"/>
      <c r="V23" s="175"/>
      <c r="W23" s="175"/>
      <c r="X23" s="176"/>
      <c r="Y23" s="175"/>
    </row>
    <row r="24" spans="2:25" ht="18" customHeight="1" x14ac:dyDescent="0.3">
      <c r="B24" s="3" t="s">
        <v>19</v>
      </c>
      <c r="C24" s="43" t="s">
        <v>16</v>
      </c>
      <c r="D24" s="45" t="s">
        <v>17</v>
      </c>
      <c r="F24" s="56">
        <v>33</v>
      </c>
      <c r="G24" s="55">
        <f t="shared" si="7"/>
        <v>0.72000000000000008</v>
      </c>
      <c r="I24" s="172"/>
      <c r="J24" s="35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</row>
    <row r="25" spans="2:25" ht="18" hidden="1" customHeight="1" x14ac:dyDescent="0.3">
      <c r="B25" s="13" t="s">
        <v>15</v>
      </c>
      <c r="C25" s="60">
        <f>($D$20*($G$27*$D$19))+(($D$20-0.022)*($D$18/COS($D$22*PI()/180)))+($D$8/COS($D$22*PI()/180))</f>
        <v>58.802497440523069</v>
      </c>
      <c r="D25" s="60">
        <f>($D$20*$G$27*$D$19)+(($D$20-0.022)*($D$18/COS($D$22*PI()/180)))+(($D$8+$D$9)/COS($D$22*PI()/180))</f>
        <v>64.254322919737632</v>
      </c>
      <c r="F25" s="56">
        <v>34</v>
      </c>
      <c r="G25" s="55">
        <f t="shared" si="7"/>
        <v>0.69333333333333336</v>
      </c>
      <c r="I25" s="173"/>
      <c r="J25" s="177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</row>
    <row r="26" spans="2:25" ht="18" customHeight="1" x14ac:dyDescent="0.3">
      <c r="B26" s="13" t="s">
        <v>73</v>
      </c>
      <c r="C26" s="200">
        <f>1.14*(($D$10*$D$12*10000/($D$21*$D$14*(C25)))^(1/3))/100</f>
        <v>4.9273625856287309</v>
      </c>
      <c r="D26" s="200">
        <f>1.18*(((($D$10*$D$12)+($D$11*$D$13))*10000/($D$21*$D$14*(D25)))^(1/3))/100</f>
        <v>6.186450047638191</v>
      </c>
      <c r="F26" s="63">
        <v>35</v>
      </c>
      <c r="G26" s="64">
        <f t="shared" si="7"/>
        <v>0.66666666666666663</v>
      </c>
      <c r="I26" s="174"/>
      <c r="J26" s="177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</row>
    <row r="27" spans="2:25" ht="18" customHeight="1" x14ac:dyDescent="0.25">
      <c r="F27" s="53" t="s">
        <v>42</v>
      </c>
      <c r="G27" s="65">
        <f>VLOOKUP($D$22,F16:G26,2)</f>
        <v>0.8</v>
      </c>
      <c r="I27" s="174"/>
      <c r="J27" s="177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</row>
    <row r="28" spans="2:25" ht="18" customHeight="1" x14ac:dyDescent="0.25">
      <c r="F28" s="245" t="s">
        <v>44</v>
      </c>
      <c r="G28" s="245"/>
      <c r="H28" s="245"/>
      <c r="I28" s="174"/>
      <c r="J28" s="177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</row>
    <row r="29" spans="2:25" ht="18" customHeight="1" x14ac:dyDescent="0.25">
      <c r="F29" s="57" t="s">
        <v>43</v>
      </c>
      <c r="I29" s="36"/>
      <c r="J29" s="179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</row>
    <row r="30" spans="2:25" ht="18" customHeight="1" x14ac:dyDescent="0.25">
      <c r="G30" s="58"/>
      <c r="H30" s="58"/>
      <c r="I30" s="180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8" customHeight="1" x14ac:dyDescent="0.25">
      <c r="I31" s="173"/>
      <c r="J31" s="177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</row>
    <row r="32" spans="2:25" ht="18" customHeight="1" x14ac:dyDescent="0.25">
      <c r="I32" s="174"/>
      <c r="J32" s="177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</row>
    <row r="33" spans="4:25" ht="18" customHeight="1" x14ac:dyDescent="0.25">
      <c r="I33" s="174"/>
      <c r="J33" s="177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</row>
    <row r="34" spans="4:25" ht="18" customHeight="1" x14ac:dyDescent="0.25">
      <c r="I34" s="174"/>
      <c r="J34" s="177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</row>
    <row r="35" spans="4:25" ht="18" customHeight="1" x14ac:dyDescent="0.25">
      <c r="I35" s="36"/>
      <c r="J35" s="179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</row>
    <row r="36" spans="4:25" ht="18" customHeight="1" x14ac:dyDescent="0.25"/>
    <row r="37" spans="4:25" ht="18" customHeight="1" x14ac:dyDescent="0.3">
      <c r="D37" s="2"/>
    </row>
    <row r="38" spans="4:25" ht="18" customHeight="1" x14ac:dyDescent="0.25"/>
    <row r="39" spans="4:25" ht="18" customHeight="1" x14ac:dyDescent="0.25"/>
    <row r="40" spans="4:25" ht="18" customHeight="1" x14ac:dyDescent="0.25"/>
    <row r="41" spans="4:25" ht="18" customHeight="1" x14ac:dyDescent="0.3">
      <c r="I41" s="246" t="s">
        <v>53</v>
      </c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</row>
    <row r="42" spans="4:25" ht="18" customHeight="1" thickBot="1" x14ac:dyDescent="0.35">
      <c r="I42" s="243" t="s">
        <v>54</v>
      </c>
      <c r="J42" s="243"/>
      <c r="K42" s="244"/>
      <c r="L42" s="244"/>
      <c r="M42" s="244"/>
      <c r="N42" s="243"/>
      <c r="O42" s="121"/>
      <c r="P42" s="121"/>
      <c r="S42" s="243" t="s">
        <v>55</v>
      </c>
      <c r="T42" s="243"/>
      <c r="U42" s="243"/>
      <c r="V42" s="244"/>
      <c r="W42" s="244"/>
      <c r="X42" s="244"/>
      <c r="Y42" s="243"/>
    </row>
    <row r="43" spans="4:25" ht="18" customHeight="1" thickBot="1" x14ac:dyDescent="0.35">
      <c r="I43" s="122" t="s">
        <v>56</v>
      </c>
      <c r="J43" s="123" t="s">
        <v>57</v>
      </c>
      <c r="K43" s="124" t="s">
        <v>58</v>
      </c>
      <c r="L43" s="125" t="s">
        <v>59</v>
      </c>
      <c r="M43" s="126" t="s">
        <v>60</v>
      </c>
      <c r="N43" s="127" t="s">
        <v>61</v>
      </c>
      <c r="O43" s="121"/>
      <c r="P43" s="121"/>
      <c r="Q43" s="1"/>
      <c r="R43" s="1"/>
      <c r="S43" s="122" t="s">
        <v>56</v>
      </c>
      <c r="T43" s="123"/>
      <c r="U43" s="123" t="s">
        <v>57</v>
      </c>
      <c r="V43" s="124" t="s">
        <v>58</v>
      </c>
      <c r="W43" s="125" t="s">
        <v>59</v>
      </c>
      <c r="X43" s="126" t="s">
        <v>60</v>
      </c>
      <c r="Y43" s="128" t="s">
        <v>61</v>
      </c>
    </row>
    <row r="44" spans="4:25" ht="18" customHeight="1" x14ac:dyDescent="0.3">
      <c r="I44" s="38">
        <v>10</v>
      </c>
      <c r="J44" s="8">
        <v>45</v>
      </c>
      <c r="K44" s="129">
        <v>4505</v>
      </c>
      <c r="L44" s="130">
        <f>$D44*1.14</f>
        <v>0</v>
      </c>
      <c r="M44" s="131">
        <v>5950</v>
      </c>
      <c r="N44" s="132">
        <f>(($M44/$K44)*100)-100</f>
        <v>32.075471698113205</v>
      </c>
      <c r="O44" s="133"/>
      <c r="P44" s="133"/>
      <c r="S44" s="38">
        <v>10</v>
      </c>
      <c r="T44" s="213"/>
      <c r="U44" s="8">
        <v>45</v>
      </c>
      <c r="V44" s="129">
        <v>5448</v>
      </c>
      <c r="W44" s="130">
        <f>$L44*1.18</f>
        <v>0</v>
      </c>
      <c r="X44" s="134" t="s">
        <v>62</v>
      </c>
      <c r="Y44" s="135" t="s">
        <v>63</v>
      </c>
    </row>
    <row r="45" spans="4:25" ht="18" customHeight="1" x14ac:dyDescent="0.3">
      <c r="I45" s="40"/>
      <c r="J45" s="8">
        <v>90</v>
      </c>
      <c r="K45" s="129">
        <v>3949</v>
      </c>
      <c r="L45" s="130">
        <f>$D45*1.14</f>
        <v>0</v>
      </c>
      <c r="M45" s="131">
        <v>5350</v>
      </c>
      <c r="N45" s="132">
        <f t="shared" ref="N45:N47" si="8">(($M45/$K45)*100)-100</f>
        <v>35.477336034439105</v>
      </c>
      <c r="O45" s="133"/>
      <c r="P45" s="133"/>
      <c r="S45" s="40"/>
      <c r="T45" s="214"/>
      <c r="U45" s="8">
        <v>90</v>
      </c>
      <c r="V45" s="129">
        <v>4824</v>
      </c>
      <c r="W45" s="130">
        <f>$L45*1.18</f>
        <v>0</v>
      </c>
      <c r="X45" s="134" t="s">
        <v>64</v>
      </c>
      <c r="Y45" s="136" t="s">
        <v>63</v>
      </c>
    </row>
    <row r="46" spans="4:25" ht="18" customHeight="1" x14ac:dyDescent="0.3">
      <c r="I46" s="38">
        <v>25</v>
      </c>
      <c r="J46" s="8">
        <v>45</v>
      </c>
      <c r="K46" s="129">
        <v>4440</v>
      </c>
      <c r="L46" s="130">
        <f t="shared" ref="L46:L47" si="9">$D46*1.14</f>
        <v>0</v>
      </c>
      <c r="M46" s="131">
        <v>5300</v>
      </c>
      <c r="N46" s="137">
        <f t="shared" si="8"/>
        <v>19.369369369369366</v>
      </c>
      <c r="O46" s="133">
        <v>14</v>
      </c>
      <c r="P46" s="133"/>
      <c r="S46" s="38">
        <v>25</v>
      </c>
      <c r="T46" s="213"/>
      <c r="U46" s="8">
        <v>45</v>
      </c>
      <c r="V46" s="129">
        <v>5383</v>
      </c>
      <c r="W46" s="130">
        <f t="shared" ref="W46:W47" si="10">$L46*1.18</f>
        <v>0</v>
      </c>
      <c r="X46" s="134" t="s">
        <v>62</v>
      </c>
      <c r="Y46" s="136" t="s">
        <v>63</v>
      </c>
    </row>
    <row r="47" spans="4:25" ht="18" customHeight="1" thickBot="1" x14ac:dyDescent="0.35">
      <c r="I47" s="40"/>
      <c r="J47" s="8">
        <v>90</v>
      </c>
      <c r="K47" s="138">
        <v>3910</v>
      </c>
      <c r="L47" s="139">
        <f t="shared" si="9"/>
        <v>0</v>
      </c>
      <c r="M47" s="140">
        <v>4850</v>
      </c>
      <c r="N47" s="132">
        <f t="shared" si="8"/>
        <v>24.040920716112524</v>
      </c>
      <c r="O47" s="133"/>
      <c r="P47" s="133"/>
      <c r="S47" s="40"/>
      <c r="T47" s="214"/>
      <c r="U47" s="8">
        <v>90</v>
      </c>
      <c r="V47" s="138">
        <v>4784</v>
      </c>
      <c r="W47" s="139">
        <f t="shared" si="10"/>
        <v>0</v>
      </c>
      <c r="X47" s="141">
        <v>5900</v>
      </c>
      <c r="Y47" s="142">
        <f>(($X47/$V47)*100)-100</f>
        <v>23.327759197324411</v>
      </c>
    </row>
    <row r="48" spans="4:25" ht="18" customHeight="1" x14ac:dyDescent="0.3">
      <c r="I48" s="246" t="s">
        <v>65</v>
      </c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</row>
    <row r="49" spans="9:25" ht="18" customHeight="1" thickBot="1" x14ac:dyDescent="0.35">
      <c r="I49" s="243" t="s">
        <v>54</v>
      </c>
      <c r="J49" s="243"/>
      <c r="K49" s="244"/>
      <c r="L49" s="244"/>
      <c r="M49" s="244"/>
      <c r="N49" s="243"/>
      <c r="O49" s="121"/>
      <c r="P49" s="121"/>
      <c r="S49" s="243" t="s">
        <v>55</v>
      </c>
      <c r="T49" s="243"/>
      <c r="U49" s="243"/>
      <c r="V49" s="244"/>
      <c r="W49" s="244"/>
      <c r="X49" s="244"/>
      <c r="Y49" s="243"/>
    </row>
    <row r="50" spans="9:25" ht="18" customHeight="1" thickBot="1" x14ac:dyDescent="0.35">
      <c r="I50" s="122" t="s">
        <v>56</v>
      </c>
      <c r="J50" s="123" t="s">
        <v>57</v>
      </c>
      <c r="K50" s="124" t="s">
        <v>58</v>
      </c>
      <c r="L50" s="125" t="s">
        <v>59</v>
      </c>
      <c r="M50" s="126" t="s">
        <v>60</v>
      </c>
      <c r="N50" s="127" t="s">
        <v>61</v>
      </c>
      <c r="O50" s="121"/>
      <c r="P50" s="121"/>
      <c r="Q50" s="1"/>
      <c r="R50" s="1"/>
      <c r="S50" s="122" t="s">
        <v>56</v>
      </c>
      <c r="T50" s="123"/>
      <c r="U50" s="123" t="s">
        <v>57</v>
      </c>
      <c r="V50" s="124" t="s">
        <v>58</v>
      </c>
      <c r="W50" s="125" t="s">
        <v>59</v>
      </c>
      <c r="X50" s="126" t="s">
        <v>60</v>
      </c>
      <c r="Y50" s="128" t="s">
        <v>61</v>
      </c>
    </row>
    <row r="51" spans="9:25" ht="14.4" x14ac:dyDescent="0.3">
      <c r="I51" s="38">
        <v>5</v>
      </c>
      <c r="J51" s="8">
        <v>45</v>
      </c>
      <c r="K51" s="129">
        <v>4512</v>
      </c>
      <c r="L51" s="130">
        <f>$D51*1.09</f>
        <v>0</v>
      </c>
      <c r="M51" s="131">
        <v>6000</v>
      </c>
      <c r="N51" s="132">
        <f>(($M51/$K51)*100)-100</f>
        <v>32.978723404255305</v>
      </c>
      <c r="O51" s="133"/>
      <c r="P51" s="133"/>
      <c r="S51" s="38">
        <v>5</v>
      </c>
      <c r="T51" s="213"/>
      <c r="U51" s="8">
        <v>45</v>
      </c>
      <c r="V51" s="129">
        <v>5453</v>
      </c>
      <c r="W51" s="130">
        <f>$L51*1.19</f>
        <v>0</v>
      </c>
      <c r="X51" s="134">
        <v>1</v>
      </c>
      <c r="Y51" s="135" t="s">
        <v>63</v>
      </c>
    </row>
    <row r="52" spans="9:25" ht="14.4" x14ac:dyDescent="0.3">
      <c r="I52" s="40"/>
      <c r="J52" s="8">
        <v>90</v>
      </c>
      <c r="K52" s="129">
        <v>3685</v>
      </c>
      <c r="L52" s="130">
        <f>$D52*1.09</f>
        <v>0</v>
      </c>
      <c r="M52" s="131">
        <v>5300</v>
      </c>
      <c r="N52" s="132">
        <f t="shared" ref="N52:N54" si="11">(($M52/$K52)*100)-100</f>
        <v>43.826322930800529</v>
      </c>
      <c r="O52" s="133"/>
      <c r="P52" s="133"/>
      <c r="S52" s="40"/>
      <c r="T52" s="214"/>
      <c r="U52" s="8">
        <v>90</v>
      </c>
      <c r="V52" s="129">
        <v>4520</v>
      </c>
      <c r="W52" s="130">
        <f>$L52*1.19</f>
        <v>0</v>
      </c>
      <c r="X52" s="134">
        <v>1</v>
      </c>
      <c r="Y52" s="136" t="s">
        <v>63</v>
      </c>
    </row>
    <row r="53" spans="9:25" ht="14.4" x14ac:dyDescent="0.3">
      <c r="I53" s="38">
        <v>25</v>
      </c>
      <c r="J53" s="8">
        <v>45</v>
      </c>
      <c r="K53" s="129">
        <v>4487</v>
      </c>
      <c r="L53" s="130">
        <f t="shared" ref="L53" si="12">$D53*1.09</f>
        <v>0</v>
      </c>
      <c r="M53" s="131">
        <v>5100</v>
      </c>
      <c r="N53" s="137">
        <f t="shared" si="11"/>
        <v>13.661689324715852</v>
      </c>
      <c r="O53" s="133">
        <v>9</v>
      </c>
      <c r="P53" s="133"/>
      <c r="S53" s="38">
        <v>25</v>
      </c>
      <c r="T53" s="213"/>
      <c r="U53" s="8">
        <v>45</v>
      </c>
      <c r="V53" s="129">
        <v>5435</v>
      </c>
      <c r="W53" s="130">
        <f t="shared" ref="W53:W54" si="13">$L53*1.19</f>
        <v>0</v>
      </c>
      <c r="X53" s="134">
        <v>1</v>
      </c>
      <c r="Y53" s="136" t="s">
        <v>63</v>
      </c>
    </row>
    <row r="54" spans="9:25" ht="15" thickBot="1" x14ac:dyDescent="0.35">
      <c r="I54" s="40"/>
      <c r="J54" s="8">
        <v>90</v>
      </c>
      <c r="K54" s="138">
        <v>3674</v>
      </c>
      <c r="L54" s="139">
        <f>$D54*1.09</f>
        <v>0</v>
      </c>
      <c r="M54" s="140">
        <v>4600</v>
      </c>
      <c r="N54" s="132">
        <f t="shared" si="11"/>
        <v>25.204137180185086</v>
      </c>
      <c r="O54" s="133"/>
      <c r="P54" s="133"/>
      <c r="S54" s="40"/>
      <c r="T54" s="214"/>
      <c r="U54" s="8">
        <v>90</v>
      </c>
      <c r="V54" s="138">
        <v>4511</v>
      </c>
      <c r="W54" s="139">
        <f t="shared" si="13"/>
        <v>0</v>
      </c>
      <c r="X54" s="141">
        <v>5600</v>
      </c>
      <c r="Y54" s="142">
        <f>(($X54/$V54)*100)-100</f>
        <v>24.140988694302806</v>
      </c>
    </row>
  </sheetData>
  <sheetProtection algorithmName="SHA-512" hashValue="dQiEwFQoxLBg/2lHN8+Lu3bjBMbRVH6J3IQHxjnCXXp7ntKXGb2Kjh6k5/lLYVE8rqBRUhF6QleYrR1RimctnA==" saltValue="sjDuHAbx5V/XuzjIwsCWQw==" spinCount="100000" sheet="1" objects="1" scenarios="1"/>
  <mergeCells count="11">
    <mergeCell ref="I49:N49"/>
    <mergeCell ref="S49:Y49"/>
    <mergeCell ref="B2:D2"/>
    <mergeCell ref="F28:H28"/>
    <mergeCell ref="I41:Y41"/>
    <mergeCell ref="I42:N42"/>
    <mergeCell ref="S42:Y42"/>
    <mergeCell ref="I48:Y48"/>
    <mergeCell ref="I9:J9"/>
    <mergeCell ref="I11:I15"/>
    <mergeCell ref="I17:I21"/>
  </mergeCells>
  <pageMargins left="0.39370078740157483" right="0" top="0.39370078740157483" bottom="0" header="0" footer="0"/>
  <pageSetup paperSize="9" scale="76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597E3-2A83-4D27-8436-F27FD17A633E}">
  <sheetPr>
    <pageSetUpPr fitToPage="1"/>
  </sheetPr>
  <dimension ref="B1:AO54"/>
  <sheetViews>
    <sheetView workbookViewId="0">
      <selection activeCell="D22" sqref="D22"/>
    </sheetView>
  </sheetViews>
  <sheetFormatPr baseColWidth="10" defaultRowHeight="12.6" x14ac:dyDescent="0.25"/>
  <cols>
    <col min="1" max="1" width="1.6640625" customWidth="1"/>
    <col min="2" max="2" width="39.109375" bestFit="1" customWidth="1"/>
    <col min="3" max="4" width="15.77734375" customWidth="1"/>
    <col min="5" max="5" width="1.6640625" customWidth="1"/>
    <col min="6" max="7" width="10.77734375" hidden="1" customWidth="1"/>
    <col min="8" max="8" width="15.33203125" hidden="1" customWidth="1"/>
    <col min="9" max="10" width="5.77734375" hidden="1" customWidth="1"/>
    <col min="11" max="26" width="6.77734375" hidden="1" customWidth="1"/>
    <col min="27" max="41" width="5.77734375" hidden="1" customWidth="1"/>
  </cols>
  <sheetData>
    <row r="1" spans="2:41" ht="13.2" x14ac:dyDescent="0.25">
      <c r="B1" s="49" t="s">
        <v>70</v>
      </c>
    </row>
    <row r="2" spans="2:41" ht="18" customHeight="1" x14ac:dyDescent="0.25">
      <c r="B2" s="241" t="s">
        <v>72</v>
      </c>
      <c r="C2" s="242"/>
      <c r="D2" s="242"/>
      <c r="E2" s="37"/>
      <c r="F2" s="37"/>
      <c r="G2" s="37"/>
      <c r="H2" s="37"/>
    </row>
    <row r="3" spans="2:41" ht="18" customHeight="1" x14ac:dyDescent="0.25">
      <c r="B3" s="44" t="s">
        <v>39</v>
      </c>
      <c r="C3" s="117"/>
      <c r="D3" s="117"/>
      <c r="E3" s="37"/>
      <c r="F3" s="37"/>
      <c r="G3" s="37"/>
      <c r="H3" s="37"/>
    </row>
    <row r="4" spans="2:41" ht="18" customHeight="1" x14ac:dyDescent="0.25">
      <c r="B4" s="52" t="s">
        <v>37</v>
      </c>
    </row>
    <row r="5" spans="2:41" ht="4.95" customHeight="1" x14ac:dyDescent="0.25"/>
    <row r="6" spans="2:41" ht="18" hidden="1" customHeight="1" x14ac:dyDescent="0.3">
      <c r="B6" s="3" t="s">
        <v>6</v>
      </c>
    </row>
    <row r="7" spans="2:41" ht="18" hidden="1" customHeight="1" x14ac:dyDescent="0.25">
      <c r="B7" s="15" t="s">
        <v>2</v>
      </c>
      <c r="C7" s="9" t="s">
        <v>3</v>
      </c>
    </row>
    <row r="8" spans="2:41" ht="18" hidden="1" customHeight="1" thickBot="1" x14ac:dyDescent="0.3">
      <c r="B8" s="6" t="s">
        <v>28</v>
      </c>
      <c r="C8" s="10" t="s">
        <v>30</v>
      </c>
      <c r="D8" s="92">
        <v>2.5819999999999999</v>
      </c>
      <c r="F8" s="24"/>
      <c r="G8" s="25"/>
      <c r="H8" s="25"/>
      <c r="I8" s="81" t="s">
        <v>68</v>
      </c>
      <c r="W8" s="78" t="s">
        <v>66</v>
      </c>
    </row>
    <row r="9" spans="2:41" ht="18" hidden="1" customHeight="1" x14ac:dyDescent="0.25">
      <c r="B9" s="6" t="s">
        <v>23</v>
      </c>
      <c r="C9" s="10" t="s">
        <v>30</v>
      </c>
      <c r="D9" s="92">
        <v>5.3689999999999998</v>
      </c>
      <c r="F9" s="26"/>
      <c r="G9" s="24"/>
      <c r="H9" s="24"/>
      <c r="I9" s="247" t="s">
        <v>46</v>
      </c>
      <c r="J9" s="255"/>
      <c r="K9" s="148">
        <v>0.6</v>
      </c>
      <c r="L9" s="149">
        <v>0.6</v>
      </c>
      <c r="M9" s="150">
        <v>0.6</v>
      </c>
      <c r="N9" s="149">
        <v>0.6</v>
      </c>
      <c r="O9" s="148">
        <v>0.7</v>
      </c>
      <c r="P9" s="149">
        <v>0.7</v>
      </c>
      <c r="Q9" s="150">
        <v>0.7</v>
      </c>
      <c r="R9" s="151">
        <v>0.7</v>
      </c>
      <c r="S9" s="149">
        <v>0.8</v>
      </c>
      <c r="T9" s="149">
        <v>0.8</v>
      </c>
      <c r="U9" s="150">
        <v>0.8</v>
      </c>
      <c r="V9" s="152">
        <v>0.8</v>
      </c>
      <c r="W9" s="181">
        <v>1</v>
      </c>
      <c r="X9" s="149">
        <v>1</v>
      </c>
      <c r="Y9" s="150">
        <v>1</v>
      </c>
      <c r="Z9" s="149">
        <v>1</v>
      </c>
      <c r="AA9" s="148">
        <v>1.1000000000000001</v>
      </c>
      <c r="AB9" s="149">
        <v>1.1000000000000001</v>
      </c>
      <c r="AC9" s="182">
        <v>1.1000000000000001</v>
      </c>
      <c r="AD9" s="149">
        <v>1.1000000000000001</v>
      </c>
      <c r="AE9" s="181">
        <v>1.2</v>
      </c>
      <c r="AF9" s="149">
        <v>1.2</v>
      </c>
      <c r="AG9" s="149">
        <v>1.2</v>
      </c>
      <c r="AH9" s="149">
        <v>1.2</v>
      </c>
      <c r="AI9" s="182">
        <v>1.2</v>
      </c>
      <c r="AJ9" s="228">
        <v>1.2</v>
      </c>
      <c r="AK9" s="152">
        <v>1.2</v>
      </c>
      <c r="AL9" s="149">
        <v>1.3</v>
      </c>
      <c r="AM9" s="149">
        <v>1.3</v>
      </c>
      <c r="AN9" s="182">
        <v>1.3</v>
      </c>
      <c r="AO9" s="152">
        <v>1.3</v>
      </c>
    </row>
    <row r="10" spans="2:41" ht="18" hidden="1" customHeight="1" x14ac:dyDescent="0.25">
      <c r="B10" s="6" t="s">
        <v>29</v>
      </c>
      <c r="C10" s="10" t="s">
        <v>12</v>
      </c>
      <c r="D10" s="95">
        <v>176.36</v>
      </c>
      <c r="I10" s="153" t="s">
        <v>9</v>
      </c>
      <c r="J10" s="118"/>
      <c r="K10" s="75">
        <v>5</v>
      </c>
      <c r="L10" s="76">
        <v>15</v>
      </c>
      <c r="M10" s="76">
        <v>25</v>
      </c>
      <c r="N10" s="77">
        <v>35</v>
      </c>
      <c r="O10" s="75">
        <v>5</v>
      </c>
      <c r="P10" s="76">
        <v>15</v>
      </c>
      <c r="Q10" s="76">
        <v>25</v>
      </c>
      <c r="R10" s="77">
        <v>35</v>
      </c>
      <c r="S10" s="75">
        <v>5</v>
      </c>
      <c r="T10" s="76">
        <v>15</v>
      </c>
      <c r="U10" s="76">
        <v>25</v>
      </c>
      <c r="V10" s="154">
        <v>35</v>
      </c>
      <c r="W10" s="183">
        <v>5</v>
      </c>
      <c r="X10" s="76">
        <v>15</v>
      </c>
      <c r="Y10" s="76">
        <v>25</v>
      </c>
      <c r="Z10" s="77">
        <v>35</v>
      </c>
      <c r="AA10" s="75">
        <v>5</v>
      </c>
      <c r="AB10" s="76">
        <v>15</v>
      </c>
      <c r="AC10" s="76">
        <v>25</v>
      </c>
      <c r="AD10" s="85">
        <v>35</v>
      </c>
      <c r="AE10" s="183">
        <v>5</v>
      </c>
      <c r="AF10" s="86">
        <v>10</v>
      </c>
      <c r="AG10" s="76">
        <v>15</v>
      </c>
      <c r="AH10" s="76">
        <v>20</v>
      </c>
      <c r="AI10" s="76">
        <v>25</v>
      </c>
      <c r="AJ10" s="85">
        <v>30</v>
      </c>
      <c r="AK10" s="154">
        <v>35</v>
      </c>
      <c r="AL10" s="86">
        <v>5</v>
      </c>
      <c r="AM10" s="76">
        <v>15</v>
      </c>
      <c r="AN10" s="76">
        <v>25</v>
      </c>
      <c r="AO10" s="154">
        <v>35</v>
      </c>
    </row>
    <row r="11" spans="2:41" ht="18" hidden="1" customHeight="1" x14ac:dyDescent="0.25">
      <c r="B11" s="6" t="s">
        <v>11</v>
      </c>
      <c r="C11" s="10" t="s">
        <v>12</v>
      </c>
      <c r="D11" s="95">
        <v>55.853000000000002</v>
      </c>
      <c r="F11" s="24"/>
      <c r="G11" s="24"/>
      <c r="I11" s="249" t="s">
        <v>45</v>
      </c>
      <c r="J11" s="80">
        <v>45</v>
      </c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55"/>
      <c r="W11" s="193">
        <f t="shared" ref="W11:AO15" si="0">1.09*((($D$10*$D$12*10000/($D$21*$D$14*((W$9*(((VLOOKUP(W$10,$F$16:$G$26,2))*$J11))+((W$9-0.022)*($D$18/COS(W$10*PI()/180))))+(($D$8)/COS(W$10*PI()/180)))))^(1/3))/100)</f>
        <v>5.209186062127813</v>
      </c>
      <c r="X11" s="143">
        <f t="shared" si="0"/>
        <v>5.1998376381306555</v>
      </c>
      <c r="Y11" s="143">
        <f t="shared" si="0"/>
        <v>5.1798262447561436</v>
      </c>
      <c r="Z11" s="143">
        <f t="shared" si="0"/>
        <v>5.3967104811225939</v>
      </c>
      <c r="AA11" s="143">
        <f t="shared" si="0"/>
        <v>5.0550445206946435</v>
      </c>
      <c r="AB11" s="143">
        <f t="shared" si="0"/>
        <v>5.046198901392863</v>
      </c>
      <c r="AC11" s="143">
        <f t="shared" si="0"/>
        <v>5.0272585044896516</v>
      </c>
      <c r="AD11" s="229">
        <f t="shared" si="0"/>
        <v>5.2402294220415797</v>
      </c>
      <c r="AE11" s="193">
        <f t="shared" si="0"/>
        <v>4.917666033286233</v>
      </c>
      <c r="AF11" s="143">
        <f t="shared" si="0"/>
        <v>4.9145524684424791</v>
      </c>
      <c r="AG11" s="143">
        <f t="shared" si="0"/>
        <v>4.909245960078807</v>
      </c>
      <c r="AH11" s="143">
        <f t="shared" si="0"/>
        <v>4.9015603187415975</v>
      </c>
      <c r="AI11" s="143">
        <f t="shared" si="0"/>
        <v>4.8912124902151346</v>
      </c>
      <c r="AJ11" s="143">
        <f t="shared" si="0"/>
        <v>4.8777957066783948</v>
      </c>
      <c r="AK11" s="195">
        <f t="shared" si="0"/>
        <v>5.1004509760413752</v>
      </c>
      <c r="AL11" s="232">
        <f t="shared" si="0"/>
        <v>4.7941000057626111</v>
      </c>
      <c r="AM11" s="143">
        <f t="shared" si="0"/>
        <v>4.7860454910763712</v>
      </c>
      <c r="AN11" s="143">
        <f t="shared" si="0"/>
        <v>4.7687914688466559</v>
      </c>
      <c r="AO11" s="195">
        <f t="shared" si="0"/>
        <v>4.9744855830948786</v>
      </c>
    </row>
    <row r="12" spans="2:41" ht="18" hidden="1" customHeight="1" x14ac:dyDescent="0.25">
      <c r="B12" s="8" t="s">
        <v>7</v>
      </c>
      <c r="C12" s="7" t="s">
        <v>18</v>
      </c>
      <c r="D12" s="94">
        <v>7000</v>
      </c>
      <c r="I12" s="256"/>
      <c r="J12" s="69">
        <v>55</v>
      </c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56"/>
      <c r="W12" s="194">
        <f t="shared" si="0"/>
        <v>4.9241449199797422</v>
      </c>
      <c r="X12" s="147">
        <f t="shared" si="0"/>
        <v>4.9166765785732576</v>
      </c>
      <c r="Y12" s="147">
        <f t="shared" si="0"/>
        <v>4.9006618073498425</v>
      </c>
      <c r="Z12" s="147">
        <f t="shared" si="0"/>
        <v>5.1209429374573556</v>
      </c>
      <c r="AA12" s="147">
        <f t="shared" si="0"/>
        <v>4.7771487498125325</v>
      </c>
      <c r="AB12" s="147">
        <f t="shared" si="0"/>
        <v>4.7700897964777456</v>
      </c>
      <c r="AC12" s="147">
        <f t="shared" si="0"/>
        <v>4.7549491867470151</v>
      </c>
      <c r="AD12" s="230">
        <f t="shared" si="0"/>
        <v>4.9707548457840129</v>
      </c>
      <c r="AE12" s="194">
        <f t="shared" si="0"/>
        <v>4.6462684691660634</v>
      </c>
      <c r="AF12" s="147">
        <f t="shared" si="0"/>
        <v>4.6437869074386731</v>
      </c>
      <c r="AG12" s="147">
        <f t="shared" si="0"/>
        <v>4.6395552681807262</v>
      </c>
      <c r="AH12" s="147">
        <f t="shared" si="0"/>
        <v>4.6334213465169771</v>
      </c>
      <c r="AI12" s="147">
        <f t="shared" si="0"/>
        <v>4.6251532888578417</v>
      </c>
      <c r="AJ12" s="147">
        <f t="shared" si="0"/>
        <v>4.6144169950792389</v>
      </c>
      <c r="AK12" s="196">
        <f t="shared" si="0"/>
        <v>4.8367667859767236</v>
      </c>
      <c r="AL12" s="233">
        <f t="shared" si="0"/>
        <v>4.5286460832913367</v>
      </c>
      <c r="AM12" s="147">
        <f t="shared" si="0"/>
        <v>4.52222935565137</v>
      </c>
      <c r="AN12" s="147">
        <f t="shared" si="0"/>
        <v>4.5084609900562409</v>
      </c>
      <c r="AO12" s="196">
        <f t="shared" si="0"/>
        <v>4.7161487738374506</v>
      </c>
    </row>
    <row r="13" spans="2:41" ht="18" hidden="1" customHeight="1" x14ac:dyDescent="0.25">
      <c r="B13" s="8" t="s">
        <v>8</v>
      </c>
      <c r="C13" s="7" t="s">
        <v>18</v>
      </c>
      <c r="D13" s="94">
        <v>21000</v>
      </c>
      <c r="I13" s="256"/>
      <c r="J13" s="69">
        <v>65</v>
      </c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56"/>
      <c r="W13" s="194">
        <f t="shared" si="0"/>
        <v>4.6927539633574629</v>
      </c>
      <c r="X13" s="147">
        <f t="shared" si="0"/>
        <v>4.6865910084149389</v>
      </c>
      <c r="Y13" s="147">
        <f t="shared" si="0"/>
        <v>4.6733585454282425</v>
      </c>
      <c r="Z13" s="147">
        <f t="shared" si="0"/>
        <v>4.8940969581643321</v>
      </c>
      <c r="AA13" s="147">
        <f t="shared" si="0"/>
        <v>4.5517679815024801</v>
      </c>
      <c r="AB13" s="147">
        <f t="shared" si="0"/>
        <v>4.5459475012889135</v>
      </c>
      <c r="AC13" s="147">
        <f t="shared" si="0"/>
        <v>4.533447648376983</v>
      </c>
      <c r="AD13" s="230">
        <f t="shared" si="0"/>
        <v>4.7493493834451952</v>
      </c>
      <c r="AE13" s="194">
        <f t="shared" si="0"/>
        <v>4.4263298542960552</v>
      </c>
      <c r="AF13" s="147">
        <f t="shared" si="0"/>
        <v>4.4242855489028878</v>
      </c>
      <c r="AG13" s="147">
        <f t="shared" si="0"/>
        <v>4.4207981705208024</v>
      </c>
      <c r="AH13" s="147">
        <f t="shared" si="0"/>
        <v>4.4157400361249897</v>
      </c>
      <c r="AI13" s="147">
        <f t="shared" si="0"/>
        <v>4.4089163589047331</v>
      </c>
      <c r="AJ13" s="147">
        <f t="shared" si="0"/>
        <v>4.4000458859908838</v>
      </c>
      <c r="AK13" s="196">
        <f t="shared" si="0"/>
        <v>4.6203362275750832</v>
      </c>
      <c r="AL13" s="233">
        <f t="shared" si="0"/>
        <v>4.3136673379899477</v>
      </c>
      <c r="AM13" s="147">
        <f t="shared" si="0"/>
        <v>4.3083829627821402</v>
      </c>
      <c r="AN13" s="147">
        <f t="shared" si="0"/>
        <v>4.2970305959253121</v>
      </c>
      <c r="AO13" s="196">
        <f t="shared" si="0"/>
        <v>4.5042890989783162</v>
      </c>
    </row>
    <row r="14" spans="2:41" ht="18" hidden="1" customHeight="1" x14ac:dyDescent="0.25">
      <c r="B14" s="8" t="s">
        <v>14</v>
      </c>
      <c r="C14" s="4" t="s">
        <v>13</v>
      </c>
      <c r="D14" s="94">
        <v>1.2999999999999999E-2</v>
      </c>
      <c r="I14" s="256"/>
      <c r="J14" s="69">
        <v>90</v>
      </c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56"/>
      <c r="W14" s="194">
        <f t="shared" si="0"/>
        <v>4.2606716111659182</v>
      </c>
      <c r="X14" s="147">
        <f t="shared" si="0"/>
        <v>4.2564810040485028</v>
      </c>
      <c r="Y14" s="147">
        <f t="shared" si="0"/>
        <v>4.2474646733833579</v>
      </c>
      <c r="Z14" s="147">
        <f t="shared" si="0"/>
        <v>4.4640608558723613</v>
      </c>
      <c r="AA14" s="147">
        <f t="shared" si="0"/>
        <v>4.1313487732003171</v>
      </c>
      <c r="AB14" s="147">
        <f t="shared" si="0"/>
        <v>4.1273961457227228</v>
      </c>
      <c r="AC14" s="147">
        <f t="shared" si="0"/>
        <v>4.1188904053203634</v>
      </c>
      <c r="AD14" s="230">
        <f t="shared" si="0"/>
        <v>4.3302029799293837</v>
      </c>
      <c r="AE14" s="194">
        <f t="shared" si="0"/>
        <v>4.0164222830181115</v>
      </c>
      <c r="AF14" s="147">
        <f t="shared" si="0"/>
        <v>4.015036071259126</v>
      </c>
      <c r="AG14" s="147">
        <f t="shared" si="0"/>
        <v>4.0126698399580665</v>
      </c>
      <c r="AH14" s="147">
        <f t="shared" si="0"/>
        <v>4.0092344831858657</v>
      </c>
      <c r="AI14" s="147">
        <f t="shared" si="0"/>
        <v>4.0045937376673288</v>
      </c>
      <c r="AJ14" s="147">
        <f t="shared" si="0"/>
        <v>3.9985502041611318</v>
      </c>
      <c r="AK14" s="196">
        <f t="shared" si="0"/>
        <v>4.211080862103417</v>
      </c>
      <c r="AL14" s="233">
        <f t="shared" si="0"/>
        <v>3.9133028246311454</v>
      </c>
      <c r="AM14" s="147">
        <f t="shared" si="0"/>
        <v>3.9097214447609754</v>
      </c>
      <c r="AN14" s="147">
        <f t="shared" si="0"/>
        <v>3.9020125816661664</v>
      </c>
      <c r="AO14" s="196">
        <f t="shared" si="0"/>
        <v>4.1040713383367606</v>
      </c>
    </row>
    <row r="15" spans="2:41" ht="18" hidden="1" customHeight="1" thickBot="1" x14ac:dyDescent="0.3">
      <c r="F15" s="53" t="s">
        <v>9</v>
      </c>
      <c r="G15" s="53" t="s">
        <v>10</v>
      </c>
      <c r="I15" s="257"/>
      <c r="J15" s="157">
        <v>140</v>
      </c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9"/>
      <c r="W15" s="197">
        <f t="shared" si="0"/>
        <v>3.719444937941176</v>
      </c>
      <c r="X15" s="198">
        <f t="shared" si="0"/>
        <v>3.7170095781665999</v>
      </c>
      <c r="Y15" s="198">
        <f t="shared" si="0"/>
        <v>3.7117588913176061</v>
      </c>
      <c r="Z15" s="198">
        <f t="shared" si="0"/>
        <v>3.9152283296950725</v>
      </c>
      <c r="AA15" s="198">
        <f t="shared" si="0"/>
        <v>3.6054054298110376</v>
      </c>
      <c r="AB15" s="198">
        <f t="shared" si="0"/>
        <v>3.603111323664602</v>
      </c>
      <c r="AC15" s="198">
        <f t="shared" si="0"/>
        <v>3.5981646062609998</v>
      </c>
      <c r="AD15" s="231">
        <f t="shared" si="0"/>
        <v>3.7961877742307393</v>
      </c>
      <c r="AE15" s="197">
        <f t="shared" si="0"/>
        <v>3.5041788487865979</v>
      </c>
      <c r="AF15" s="198">
        <f t="shared" si="0"/>
        <v>3.5033754746460732</v>
      </c>
      <c r="AG15" s="198">
        <f t="shared" si="0"/>
        <v>3.5020032730157085</v>
      </c>
      <c r="AH15" s="198">
        <f t="shared" si="0"/>
        <v>3.5000091424556894</v>
      </c>
      <c r="AI15" s="198">
        <f t="shared" si="0"/>
        <v>3.4973116821972341</v>
      </c>
      <c r="AJ15" s="198">
        <f t="shared" si="0"/>
        <v>3.4937925790476911</v>
      </c>
      <c r="AK15" s="199">
        <f t="shared" si="0"/>
        <v>3.6904196778046576</v>
      </c>
      <c r="AL15" s="234">
        <f t="shared" si="0"/>
        <v>3.4134409136976784</v>
      </c>
      <c r="AM15" s="198">
        <f t="shared" si="0"/>
        <v>3.4113664137483397</v>
      </c>
      <c r="AN15" s="198">
        <f t="shared" si="0"/>
        <v>3.4068924211336751</v>
      </c>
      <c r="AO15" s="199">
        <f t="shared" si="0"/>
        <v>3.5955334152464236</v>
      </c>
    </row>
    <row r="16" spans="2:41" ht="18" customHeight="1" thickBot="1" x14ac:dyDescent="0.35">
      <c r="B16" s="3" t="s">
        <v>0</v>
      </c>
      <c r="F16" s="61">
        <v>5</v>
      </c>
      <c r="G16" s="62">
        <v>0.8</v>
      </c>
      <c r="I16" s="81" t="s">
        <v>69</v>
      </c>
      <c r="W16" s="78" t="s">
        <v>67</v>
      </c>
    </row>
    <row r="17" spans="2:41" ht="18" customHeight="1" x14ac:dyDescent="0.25">
      <c r="B17" s="11" t="s">
        <v>2</v>
      </c>
      <c r="C17" s="17" t="s">
        <v>3</v>
      </c>
      <c r="D17" s="96" t="s">
        <v>31</v>
      </c>
      <c r="F17" s="54">
        <v>10</v>
      </c>
      <c r="G17" s="55">
        <v>0.8</v>
      </c>
      <c r="I17" s="252" t="s">
        <v>45</v>
      </c>
      <c r="J17" s="160">
        <v>45</v>
      </c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2"/>
      <c r="W17" s="184">
        <f t="shared" ref="W17:AO17" si="1">1.19*((((($D$10*$D$12)+($D$11*$D$13))*10000/($D$21*$D$14*((W$9*(((VLOOKUP(W$10,$F$16:$G$26,2))*$J11))+((W$9-0.022)*($D$18/COS(W$10*PI()/180))))+(($D$8+$D$9)/COS(W$10*PI()/180)))))^(1/3))/100)</f>
        <v>6.833875876619059</v>
      </c>
      <c r="X17" s="185">
        <f t="shared" si="1"/>
        <v>6.8151583241823825</v>
      </c>
      <c r="Y17" s="185">
        <f t="shared" si="1"/>
        <v>6.7753272949501619</v>
      </c>
      <c r="Z17" s="185">
        <f t="shared" si="1"/>
        <v>6.9905497895442164</v>
      </c>
      <c r="AA17" s="185">
        <f t="shared" si="1"/>
        <v>6.6527916050690949</v>
      </c>
      <c r="AB17" s="185">
        <f t="shared" si="1"/>
        <v>6.635321945118144</v>
      </c>
      <c r="AC17" s="185">
        <f t="shared" si="1"/>
        <v>6.5981201882261065</v>
      </c>
      <c r="AD17" s="235">
        <f t="shared" si="1"/>
        <v>6.8155098813978698</v>
      </c>
      <c r="AE17" s="184">
        <f t="shared" si="1"/>
        <v>6.4894927806472946</v>
      </c>
      <c r="AF17" s="185">
        <f t="shared" ref="AF17:AK17" si="2">1.19*((((($D$10*$D$12)+($D$11*$D$13))*10000/($D$21*$D$14*((AF$9*(((VLOOKUP(AF$10,$F$16:$G$26,2))*$J11))+((AF$9-0.022)*($D$18/COS(AF$10*PI()/180))))+(($D$8+$D$9)/COS(AF$10*PI()/180)))))^(1/3))/100)</f>
        <v>6.4834175136477636</v>
      </c>
      <c r="AG17" s="185">
        <f t="shared" si="2"/>
        <v>6.4730802609196916</v>
      </c>
      <c r="AH17" s="185">
        <f t="shared" si="2"/>
        <v>6.4581460195126121</v>
      </c>
      <c r="AI17" s="185">
        <f t="shared" si="2"/>
        <v>6.4381085410124399</v>
      </c>
      <c r="AJ17" s="185">
        <f t="shared" si="2"/>
        <v>6.4122461959152721</v>
      </c>
      <c r="AK17" s="186">
        <f t="shared" si="2"/>
        <v>6.6567811066519447</v>
      </c>
      <c r="AL17" s="238">
        <f t="shared" si="1"/>
        <v>6.3411314526907789</v>
      </c>
      <c r="AM17" s="185">
        <f t="shared" si="1"/>
        <v>6.3256260042006893</v>
      </c>
      <c r="AN17" s="185">
        <f t="shared" si="1"/>
        <v>6.292569740990329</v>
      </c>
      <c r="AO17" s="186">
        <f t="shared" si="1"/>
        <v>6.5118767087245617</v>
      </c>
    </row>
    <row r="18" spans="2:41" ht="18" customHeight="1" x14ac:dyDescent="0.25">
      <c r="B18" s="6" t="s">
        <v>24</v>
      </c>
      <c r="C18" s="7" t="s">
        <v>4</v>
      </c>
      <c r="D18" s="97">
        <v>5</v>
      </c>
      <c r="F18" s="54">
        <v>15</v>
      </c>
      <c r="G18" s="55">
        <v>0.8</v>
      </c>
      <c r="I18" s="258"/>
      <c r="J18" s="146">
        <v>55</v>
      </c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63"/>
      <c r="W18" s="187">
        <f t="shared" ref="W18:AO18" si="3">1.19*((((($D$10*$D$12)+($D$11*$D$13))*10000/($D$21*$D$14*((W$9*(((VLOOKUP(W$10,$F$16:$G$26,2))*$J12))+((W$9-0.022)*($D$18/COS(W$10*PI()/180))))+(($D$8+$D$9)/COS(W$10*PI()/180)))))^(1/3))/100)</f>
        <v>6.4972335067918845</v>
      </c>
      <c r="X18" s="188">
        <f t="shared" si="3"/>
        <v>6.4819286695270133</v>
      </c>
      <c r="Y18" s="188">
        <f t="shared" si="3"/>
        <v>6.4492817990426321</v>
      </c>
      <c r="Z18" s="188">
        <f t="shared" si="3"/>
        <v>6.6801886362268199</v>
      </c>
      <c r="AA18" s="188">
        <f t="shared" si="3"/>
        <v>6.3206720459809782</v>
      </c>
      <c r="AB18" s="188">
        <f t="shared" si="3"/>
        <v>6.3064275785463195</v>
      </c>
      <c r="AC18" s="188">
        <f t="shared" si="3"/>
        <v>6.2760232015974298</v>
      </c>
      <c r="AD18" s="236">
        <f t="shared" si="3"/>
        <v>6.5075586882013159</v>
      </c>
      <c r="AE18" s="187">
        <f t="shared" si="3"/>
        <v>6.1618616280517884</v>
      </c>
      <c r="AF18" s="188">
        <f t="shared" ref="AF18:AK18" si="4">1.19*((((($D$10*$D$12)+($D$11*$D$13))*10000/($D$21*$D$14*((AF$9*(((VLOOKUP(AF$10,$F$16:$G$26,2))*$J12))+((AF$9-0.022)*($D$18/COS(AF$10*PI()/180))))+(($D$8+$D$9)/COS(AF$10*PI()/180)))))^(1/3))/100)</f>
        <v>6.1569220811429002</v>
      </c>
      <c r="AG18" s="188">
        <f t="shared" si="4"/>
        <v>6.148511180210936</v>
      </c>
      <c r="AH18" s="188">
        <f t="shared" si="4"/>
        <v>6.1363463701331451</v>
      </c>
      <c r="AI18" s="188">
        <f t="shared" si="4"/>
        <v>6.1199995366724789</v>
      </c>
      <c r="AJ18" s="188">
        <f t="shared" si="4"/>
        <v>6.0988582504234969</v>
      </c>
      <c r="AK18" s="189">
        <f t="shared" si="4"/>
        <v>6.3514940841915104</v>
      </c>
      <c r="AL18" s="239">
        <f t="shared" si="3"/>
        <v>6.0178973148672972</v>
      </c>
      <c r="AM18" s="188">
        <f t="shared" si="3"/>
        <v>6.0053108270884437</v>
      </c>
      <c r="AN18" s="188">
        <f t="shared" si="3"/>
        <v>5.9784180739962673</v>
      </c>
      <c r="AO18" s="189">
        <f t="shared" si="3"/>
        <v>6.2093991566021938</v>
      </c>
    </row>
    <row r="19" spans="2:41" ht="18" customHeight="1" x14ac:dyDescent="0.25">
      <c r="B19" s="6" t="s">
        <v>25</v>
      </c>
      <c r="C19" s="7" t="s">
        <v>4</v>
      </c>
      <c r="D19" s="98">
        <v>45</v>
      </c>
      <c r="F19" s="54">
        <v>20</v>
      </c>
      <c r="G19" s="55">
        <v>0.8</v>
      </c>
      <c r="I19" s="258"/>
      <c r="J19" s="146">
        <v>65</v>
      </c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63"/>
      <c r="W19" s="187">
        <f t="shared" ref="W19:AO19" si="5">1.19*((((($D$10*$D$12)+($D$11*$D$13))*10000/($D$21*$D$14*((W$9*(((VLOOKUP(W$10,$F$16:$G$26,2))*$J13))+((W$9-0.022)*($D$18/COS(W$10*PI()/180))))+(($D$8+$D$9)/COS(W$10*PI()/180)))))^(1/3))/100)</f>
        <v>6.2184366031155367</v>
      </c>
      <c r="X19" s="188">
        <f t="shared" si="5"/>
        <v>6.2055869439654643</v>
      </c>
      <c r="Y19" s="188">
        <f t="shared" si="5"/>
        <v>6.1781275675763077</v>
      </c>
      <c r="Z19" s="188">
        <f t="shared" si="5"/>
        <v>6.4185031891679278</v>
      </c>
      <c r="AA19" s="188">
        <f t="shared" si="5"/>
        <v>6.046288059351042</v>
      </c>
      <c r="AB19" s="188">
        <f t="shared" si="5"/>
        <v>6.0343538880039711</v>
      </c>
      <c r="AC19" s="188">
        <f t="shared" si="5"/>
        <v>6.0088360868054966</v>
      </c>
      <c r="AD19" s="236">
        <f t="shared" si="5"/>
        <v>6.2486600046143819</v>
      </c>
      <c r="AE19" s="187">
        <f t="shared" si="5"/>
        <v>5.8917462330001111</v>
      </c>
      <c r="AF19" s="188">
        <f t="shared" ref="AF19:AK19" si="6">1.19*((((($D$10*$D$12)+($D$11*$D$13))*10000/($D$21*$D$14*((AF$9*(((VLOOKUP(AF$10,$F$16:$G$26,2))*$J13))+((AF$9-0.022)*($D$18/COS(AF$10*PI()/180))))+(($D$8+$D$9)/COS(AF$10*PI()/180)))))^(1/3))/100)</f>
        <v>5.8876166798718002</v>
      </c>
      <c r="AG19" s="188">
        <f t="shared" si="6"/>
        <v>5.8805811811936781</v>
      </c>
      <c r="AH19" s="188">
        <f t="shared" si="6"/>
        <v>5.8703971138703066</v>
      </c>
      <c r="AI19" s="188">
        <f t="shared" si="6"/>
        <v>5.8566961313240329</v>
      </c>
      <c r="AJ19" s="188">
        <f t="shared" si="6"/>
        <v>5.8389498718961965</v>
      </c>
      <c r="AK19" s="189">
        <f t="shared" si="6"/>
        <v>6.0954768842478497</v>
      </c>
      <c r="AL19" s="239">
        <f t="shared" si="5"/>
        <v>5.7518834955745142</v>
      </c>
      <c r="AM19" s="188">
        <f t="shared" si="5"/>
        <v>5.7413736588822326</v>
      </c>
      <c r="AN19" s="188">
        <f t="shared" si="5"/>
        <v>5.7188807250055369</v>
      </c>
      <c r="AO19" s="189">
        <f t="shared" si="5"/>
        <v>5.9562892610145779</v>
      </c>
    </row>
    <row r="20" spans="2:41" ht="18" customHeight="1" x14ac:dyDescent="0.25">
      <c r="B20" s="6" t="s">
        <v>1</v>
      </c>
      <c r="C20" s="7" t="s">
        <v>5</v>
      </c>
      <c r="D20" s="99">
        <v>1.2</v>
      </c>
      <c r="F20" s="54">
        <v>25</v>
      </c>
      <c r="G20" s="55">
        <v>0.8</v>
      </c>
      <c r="I20" s="258"/>
      <c r="J20" s="146">
        <v>90</v>
      </c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63"/>
      <c r="W20" s="187">
        <f t="shared" ref="W20:AO20" si="7">1.19*((((($D$10*$D$12)+($D$11*$D$13))*10000/($D$21*$D$14*((W$9*(((VLOOKUP(W$10,$F$16:$G$26,2))*$J14))+((W$9-0.022)*($D$18/COS(W$10*PI()/180))))+(($D$8+$D$9)/COS(W$10*PI()/180)))))^(1/3))/100)</f>
        <v>5.6857573024398276</v>
      </c>
      <c r="X20" s="188">
        <f t="shared" si="7"/>
        <v>5.6767676564925766</v>
      </c>
      <c r="Y20" s="188">
        <f t="shared" si="7"/>
        <v>5.6574984646974169</v>
      </c>
      <c r="Z20" s="188">
        <f t="shared" si="7"/>
        <v>5.9077384043643235</v>
      </c>
      <c r="AA20" s="188">
        <f t="shared" si="7"/>
        <v>5.5235228548450843</v>
      </c>
      <c r="AB20" s="188">
        <f t="shared" si="7"/>
        <v>5.5152031365447849</v>
      </c>
      <c r="AC20" s="188">
        <f t="shared" si="7"/>
        <v>5.4973615410488499</v>
      </c>
      <c r="AD20" s="236">
        <f t="shared" si="7"/>
        <v>5.7451050687251195</v>
      </c>
      <c r="AE20" s="187">
        <f t="shared" si="7"/>
        <v>5.3783507094333576</v>
      </c>
      <c r="AF20" s="188">
        <f t="shared" ref="AF20:AK20" si="8">1.19*((((($D$10*$D$12)+($D$11*$D$13))*10000/($D$21*$D$14*((AF$9*(((VLOOKUP(AF$10,$F$16:$G$26,2))*$J14))+((AF$9-0.022)*($D$18/COS(AF$10*PI()/180))))+(($D$8+$D$9)/COS(AF$10*PI()/180)))))^(1/3))/100)</f>
        <v>5.3754821156888912</v>
      </c>
      <c r="AG20" s="188">
        <f t="shared" si="8"/>
        <v>5.3705904773889435</v>
      </c>
      <c r="AH20" s="188">
        <f t="shared" si="8"/>
        <v>5.3634998184222491</v>
      </c>
      <c r="AI20" s="188">
        <f t="shared" si="8"/>
        <v>5.353942070461259</v>
      </c>
      <c r="AJ20" s="188">
        <f t="shared" si="8"/>
        <v>5.3415309401695161</v>
      </c>
      <c r="AK20" s="189">
        <f t="shared" si="8"/>
        <v>5.5990193505662544</v>
      </c>
      <c r="AL20" s="239">
        <f t="shared" si="7"/>
        <v>5.2473293012711517</v>
      </c>
      <c r="AM20" s="188">
        <f t="shared" si="7"/>
        <v>5.2400432743375225</v>
      </c>
      <c r="AN20" s="188">
        <f t="shared" si="7"/>
        <v>5.2244068635446137</v>
      </c>
      <c r="AO20" s="189">
        <f t="shared" si="7"/>
        <v>5.4667429400277996</v>
      </c>
    </row>
    <row r="21" spans="2:41" ht="18" hidden="1" customHeight="1" thickBot="1" x14ac:dyDescent="0.3">
      <c r="B21" s="6" t="s">
        <v>22</v>
      </c>
      <c r="C21" s="6"/>
      <c r="D21" s="100">
        <v>200</v>
      </c>
      <c r="F21" s="54">
        <v>30</v>
      </c>
      <c r="G21" s="55">
        <f>0.8*(60-$F21)/30</f>
        <v>0.8</v>
      </c>
      <c r="I21" s="259"/>
      <c r="J21" s="164">
        <v>140</v>
      </c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6"/>
      <c r="W21" s="190">
        <f t="shared" ref="W21:AO21" si="9">1.19*((((($D$10*$D$12)+($D$11*$D$13))*10000/($D$21*$D$14*((W$9*(((VLOOKUP(W$10,$F$16:$G$26,2))*$J15))+((W$9-0.022)*($D$18/COS(W$10*PI()/180))))+(($D$8+$D$9)/COS(W$10*PI()/180)))))^(1/3))/100)</f>
        <v>4.9991707206424527</v>
      </c>
      <c r="X21" s="191">
        <f t="shared" si="9"/>
        <v>4.9937927197770211</v>
      </c>
      <c r="Y21" s="191">
        <f t="shared" si="9"/>
        <v>4.9822283611949061</v>
      </c>
      <c r="Z21" s="191">
        <f t="shared" si="9"/>
        <v>5.2310162015630075</v>
      </c>
      <c r="AA21" s="191">
        <f t="shared" si="9"/>
        <v>4.8521274781714521</v>
      </c>
      <c r="AB21" s="191">
        <f t="shared" si="9"/>
        <v>4.8471684782925575</v>
      </c>
      <c r="AC21" s="191">
        <f t="shared" si="9"/>
        <v>4.8365014913657296</v>
      </c>
      <c r="AD21" s="237">
        <f t="shared" si="9"/>
        <v>5.0809948783799141</v>
      </c>
      <c r="AE21" s="190">
        <f t="shared" si="9"/>
        <v>4.7209874776708425</v>
      </c>
      <c r="AF21" s="191">
        <f t="shared" ref="AF21:AK21" si="10">1.19*((((($D$10*$D$12)+($D$11*$D$13))*10000/($D$21*$D$14*((AF$9*(((VLOOKUP(AF$10,$F$16:$G$26,2))*$J15))+((AF$9-0.022)*($D$18/COS(AF$10*PI()/180))))+(($D$8+$D$9)/COS(AF$10*PI()/180)))))^(1/3))/100)</f>
        <v>4.7192839315275519</v>
      </c>
      <c r="AG21" s="191">
        <f t="shared" si="10"/>
        <v>4.7163762650559704</v>
      </c>
      <c r="AH21" s="191">
        <f t="shared" si="10"/>
        <v>4.7121553927180706</v>
      </c>
      <c r="AI21" s="191">
        <f t="shared" si="10"/>
        <v>4.7064545521933487</v>
      </c>
      <c r="AJ21" s="191">
        <f t="shared" si="10"/>
        <v>4.6990322690947881</v>
      </c>
      <c r="AK21" s="192">
        <f t="shared" si="10"/>
        <v>4.9468256362988168</v>
      </c>
      <c r="AL21" s="240">
        <f t="shared" si="9"/>
        <v>4.6029657027419795</v>
      </c>
      <c r="AM21" s="191">
        <f t="shared" si="9"/>
        <v>4.5986477259854741</v>
      </c>
      <c r="AN21" s="191">
        <f t="shared" si="9"/>
        <v>4.5893546909589871</v>
      </c>
      <c r="AO21" s="192">
        <f t="shared" si="9"/>
        <v>4.8257916256021431</v>
      </c>
    </row>
    <row r="22" spans="2:41" ht="18" customHeight="1" x14ac:dyDescent="0.25">
      <c r="B22" s="101" t="s">
        <v>52</v>
      </c>
      <c r="C22" s="87"/>
      <c r="D22" s="116">
        <v>10</v>
      </c>
      <c r="F22" s="54">
        <v>31</v>
      </c>
      <c r="G22" s="55">
        <f t="shared" ref="G22:G26" si="11">0.8*(60-$F22)/30</f>
        <v>0.77333333333333343</v>
      </c>
      <c r="I22" s="78"/>
    </row>
    <row r="23" spans="2:41" ht="18" customHeight="1" x14ac:dyDescent="0.25">
      <c r="F23" s="56">
        <v>32</v>
      </c>
      <c r="G23" s="55">
        <f t="shared" si="11"/>
        <v>0.7466666666666667</v>
      </c>
      <c r="I23" s="172"/>
      <c r="J23" s="172"/>
      <c r="K23" s="175"/>
      <c r="L23" s="175"/>
      <c r="M23" s="176"/>
      <c r="N23" s="175"/>
      <c r="O23" s="175"/>
      <c r="P23" s="175"/>
      <c r="Q23" s="176"/>
      <c r="R23" s="175"/>
      <c r="S23" s="175"/>
      <c r="T23" s="175"/>
      <c r="U23" s="176"/>
      <c r="V23" s="175"/>
      <c r="W23" s="167"/>
      <c r="X23" s="167"/>
      <c r="Y23" s="168"/>
      <c r="Z23" s="167"/>
      <c r="AA23" s="68"/>
      <c r="AB23" s="68"/>
      <c r="AC23" s="68"/>
    </row>
    <row r="24" spans="2:41" ht="18" customHeight="1" x14ac:dyDescent="0.3">
      <c r="B24" s="3" t="s">
        <v>19</v>
      </c>
      <c r="C24" s="43" t="s">
        <v>16</v>
      </c>
      <c r="D24" s="45" t="s">
        <v>17</v>
      </c>
      <c r="F24" s="56">
        <v>33</v>
      </c>
      <c r="G24" s="55">
        <f t="shared" si="11"/>
        <v>0.72000000000000008</v>
      </c>
      <c r="I24" s="172"/>
      <c r="J24" s="35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</row>
    <row r="25" spans="2:41" ht="18" hidden="1" customHeight="1" x14ac:dyDescent="0.3">
      <c r="B25" s="13" t="s">
        <v>15</v>
      </c>
      <c r="C25" s="60">
        <f>($D$20*($G$27*$D$19))+(($D$20-0.022)*($D$18/COS($D$22*PI()/180)))+($D$8/COS($D$22*PI()/180))</f>
        <v>51.802694255896022</v>
      </c>
      <c r="D25" s="60">
        <f>($D$20*($G$27*$D$19))+(($D$20-0.022)*($D$18/COS($D$22*PI()/180)))+(($D$8+$D$9)/COS($D$22*PI()/180))</f>
        <v>57.254519735110591</v>
      </c>
      <c r="F25" s="56">
        <v>34</v>
      </c>
      <c r="G25" s="55">
        <f t="shared" si="11"/>
        <v>0.69333333333333336</v>
      </c>
      <c r="I25" s="173"/>
      <c r="J25" s="177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1"/>
      <c r="X25" s="170"/>
      <c r="Y25" s="170"/>
      <c r="Z25" s="170"/>
    </row>
    <row r="26" spans="2:41" ht="18" customHeight="1" x14ac:dyDescent="0.3">
      <c r="B26" s="13" t="s">
        <v>73</v>
      </c>
      <c r="C26" s="200">
        <f>1.09*(($D$10*$D$12*10000/($D$21*$D$14*(C25)))^(1/3))/100</f>
        <v>4.9145524684424791</v>
      </c>
      <c r="D26" s="200">
        <f>1.19*(((($D$10*$D$12)+($D$11*$D$13))*10000/($D$21*$D$14*(D25)))^(1/3))/100</f>
        <v>6.4834175136477645</v>
      </c>
      <c r="F26" s="63">
        <v>35</v>
      </c>
      <c r="G26" s="64">
        <f t="shared" si="11"/>
        <v>0.66666666666666663</v>
      </c>
      <c r="I26" s="174"/>
      <c r="J26" s="177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0"/>
      <c r="X26" s="170"/>
      <c r="Y26" s="170"/>
      <c r="Z26" s="170"/>
    </row>
    <row r="27" spans="2:41" ht="18" customHeight="1" x14ac:dyDescent="0.25">
      <c r="F27" s="53" t="s">
        <v>42</v>
      </c>
      <c r="G27" s="65">
        <f>VLOOKUP($D$22,F16:G26,2)</f>
        <v>0.8</v>
      </c>
      <c r="I27" s="174"/>
      <c r="J27" s="177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0"/>
      <c r="X27" s="170"/>
      <c r="Y27" s="170"/>
      <c r="Z27" s="170"/>
    </row>
    <row r="28" spans="2:41" ht="18" customHeight="1" x14ac:dyDescent="0.25">
      <c r="F28" s="245" t="s">
        <v>44</v>
      </c>
      <c r="G28" s="245"/>
      <c r="H28" s="245"/>
      <c r="I28" s="174"/>
      <c r="J28" s="177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0"/>
      <c r="X28" s="170"/>
      <c r="Y28" s="170"/>
      <c r="Z28" s="170"/>
    </row>
    <row r="29" spans="2:41" ht="18" customHeight="1" x14ac:dyDescent="0.25">
      <c r="F29" s="119" t="s">
        <v>43</v>
      </c>
      <c r="I29" s="36"/>
      <c r="J29" s="179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0"/>
      <c r="X29" s="170"/>
      <c r="Y29" s="170"/>
      <c r="Z29" s="170"/>
    </row>
    <row r="30" spans="2:41" ht="18" customHeight="1" x14ac:dyDescent="0.25">
      <c r="G30" s="120"/>
      <c r="H30" s="120"/>
      <c r="I30" s="180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24"/>
      <c r="X30" s="24"/>
      <c r="Y30" s="24"/>
      <c r="Z30" s="24"/>
    </row>
    <row r="31" spans="2:41" ht="18" customHeight="1" x14ac:dyDescent="0.25">
      <c r="I31" s="173"/>
      <c r="J31" s="177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0"/>
      <c r="X31" s="170"/>
      <c r="Y31" s="170"/>
      <c r="Z31" s="170"/>
    </row>
    <row r="32" spans="2:41" ht="18" customHeight="1" x14ac:dyDescent="0.25">
      <c r="I32" s="174"/>
      <c r="J32" s="177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0"/>
      <c r="X32" s="170"/>
      <c r="Y32" s="170"/>
      <c r="Z32" s="170"/>
    </row>
    <row r="33" spans="4:26" ht="18" customHeight="1" x14ac:dyDescent="0.25">
      <c r="I33" s="174"/>
      <c r="J33" s="177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0"/>
      <c r="X33" s="170"/>
      <c r="Y33" s="170"/>
      <c r="Z33" s="170"/>
    </row>
    <row r="34" spans="4:26" ht="18" customHeight="1" x14ac:dyDescent="0.25">
      <c r="I34" s="174"/>
      <c r="J34" s="177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0"/>
      <c r="X34" s="170"/>
      <c r="Y34" s="170"/>
      <c r="Z34" s="170"/>
    </row>
    <row r="35" spans="4:26" ht="18" customHeight="1" x14ac:dyDescent="0.25">
      <c r="I35" s="36"/>
      <c r="J35" s="179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0"/>
      <c r="X35" s="170"/>
      <c r="Y35" s="170"/>
      <c r="Z35" s="170"/>
    </row>
    <row r="36" spans="4:26" ht="18" customHeight="1" x14ac:dyDescent="0.25"/>
    <row r="37" spans="4:26" ht="18" customHeight="1" x14ac:dyDescent="0.3">
      <c r="D37" s="2"/>
    </row>
    <row r="38" spans="4:26" ht="18" customHeight="1" x14ac:dyDescent="0.25"/>
    <row r="39" spans="4:26" ht="18" customHeight="1" x14ac:dyDescent="0.25"/>
    <row r="40" spans="4:26" ht="18" customHeight="1" x14ac:dyDescent="0.25"/>
    <row r="41" spans="4:26" ht="18" customHeight="1" x14ac:dyDescent="0.3">
      <c r="I41" s="246" t="s">
        <v>53</v>
      </c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121"/>
    </row>
    <row r="42" spans="4:26" ht="18" customHeight="1" thickBot="1" x14ac:dyDescent="0.35">
      <c r="I42" s="260" t="s">
        <v>54</v>
      </c>
      <c r="J42" s="260"/>
      <c r="K42" s="260"/>
      <c r="L42" s="260"/>
      <c r="M42" s="260"/>
      <c r="N42" s="260"/>
      <c r="O42" s="121"/>
      <c r="Q42" s="260" t="s">
        <v>55</v>
      </c>
      <c r="R42" s="260"/>
      <c r="S42" s="260"/>
      <c r="T42" s="260"/>
      <c r="U42" s="260"/>
      <c r="V42" s="260"/>
      <c r="W42" s="121"/>
    </row>
    <row r="43" spans="4:26" ht="18" customHeight="1" thickBot="1" x14ac:dyDescent="0.35">
      <c r="I43" s="122" t="s">
        <v>56</v>
      </c>
      <c r="J43" s="123" t="s">
        <v>57</v>
      </c>
      <c r="K43" s="124" t="s">
        <v>58</v>
      </c>
      <c r="L43" s="125" t="s">
        <v>59</v>
      </c>
      <c r="M43" s="126" t="s">
        <v>60</v>
      </c>
      <c r="N43" s="127" t="s">
        <v>61</v>
      </c>
      <c r="O43" s="121"/>
      <c r="P43" s="1"/>
      <c r="Q43" s="122" t="s">
        <v>56</v>
      </c>
      <c r="R43" s="123" t="s">
        <v>57</v>
      </c>
      <c r="S43" s="124" t="s">
        <v>58</v>
      </c>
      <c r="T43" s="125" t="s">
        <v>59</v>
      </c>
      <c r="U43" s="126" t="s">
        <v>60</v>
      </c>
      <c r="V43" s="128" t="s">
        <v>61</v>
      </c>
      <c r="W43" s="121"/>
    </row>
    <row r="44" spans="4:26" ht="18" customHeight="1" x14ac:dyDescent="0.3">
      <c r="I44" s="38">
        <v>10</v>
      </c>
      <c r="J44" s="8">
        <v>45</v>
      </c>
      <c r="K44" s="129">
        <v>4505</v>
      </c>
      <c r="L44" s="130">
        <f>$D44*1.14</f>
        <v>0</v>
      </c>
      <c r="M44" s="131">
        <v>5950</v>
      </c>
      <c r="N44" s="132">
        <f>(($M44/$K44)*100)-100</f>
        <v>32.075471698113205</v>
      </c>
      <c r="O44" s="133"/>
      <c r="Q44" s="38">
        <v>10</v>
      </c>
      <c r="R44" s="8">
        <v>45</v>
      </c>
      <c r="S44" s="129">
        <v>5448</v>
      </c>
      <c r="T44" s="130">
        <f>$L44*1.18</f>
        <v>0</v>
      </c>
      <c r="U44" s="134" t="s">
        <v>62</v>
      </c>
      <c r="V44" s="135" t="s">
        <v>63</v>
      </c>
      <c r="W44" s="121"/>
    </row>
    <row r="45" spans="4:26" ht="18" customHeight="1" x14ac:dyDescent="0.3">
      <c r="I45" s="40"/>
      <c r="J45" s="8">
        <v>90</v>
      </c>
      <c r="K45" s="129">
        <v>3949</v>
      </c>
      <c r="L45" s="130">
        <f>$D45*1.14</f>
        <v>0</v>
      </c>
      <c r="M45" s="131">
        <v>5350</v>
      </c>
      <c r="N45" s="132">
        <f t="shared" ref="N45:N47" si="12">(($M45/$K45)*100)-100</f>
        <v>35.477336034439105</v>
      </c>
      <c r="O45" s="133"/>
      <c r="Q45" s="40"/>
      <c r="R45" s="8">
        <v>90</v>
      </c>
      <c r="S45" s="129">
        <v>4824</v>
      </c>
      <c r="T45" s="130">
        <f>$L45*1.18</f>
        <v>0</v>
      </c>
      <c r="U45" s="134" t="s">
        <v>64</v>
      </c>
      <c r="V45" s="136" t="s">
        <v>63</v>
      </c>
      <c r="W45" s="121"/>
    </row>
    <row r="46" spans="4:26" ht="18" customHeight="1" x14ac:dyDescent="0.3">
      <c r="I46" s="38">
        <v>25</v>
      </c>
      <c r="J46" s="8">
        <v>45</v>
      </c>
      <c r="K46" s="129">
        <v>4440</v>
      </c>
      <c r="L46" s="130">
        <f t="shared" ref="L46:L47" si="13">$D46*1.14</f>
        <v>0</v>
      </c>
      <c r="M46" s="131">
        <v>5300</v>
      </c>
      <c r="N46" s="137">
        <f t="shared" si="12"/>
        <v>19.369369369369366</v>
      </c>
      <c r="O46" s="133">
        <v>14</v>
      </c>
      <c r="Q46" s="38">
        <v>25</v>
      </c>
      <c r="R46" s="8">
        <v>45</v>
      </c>
      <c r="S46" s="129">
        <v>5383</v>
      </c>
      <c r="T46" s="130">
        <f t="shared" ref="T46:T47" si="14">$L46*1.18</f>
        <v>0</v>
      </c>
      <c r="U46" s="134" t="s">
        <v>62</v>
      </c>
      <c r="V46" s="136" t="s">
        <v>63</v>
      </c>
      <c r="W46" s="121"/>
    </row>
    <row r="47" spans="4:26" ht="18" customHeight="1" thickBot="1" x14ac:dyDescent="0.35">
      <c r="I47" s="40"/>
      <c r="J47" s="8">
        <v>90</v>
      </c>
      <c r="K47" s="138">
        <v>3910</v>
      </c>
      <c r="L47" s="139">
        <f t="shared" si="13"/>
        <v>0</v>
      </c>
      <c r="M47" s="140">
        <v>4850</v>
      </c>
      <c r="N47" s="132">
        <f t="shared" si="12"/>
        <v>24.040920716112524</v>
      </c>
      <c r="O47" s="133"/>
      <c r="Q47" s="40"/>
      <c r="R47" s="8">
        <v>90</v>
      </c>
      <c r="S47" s="138">
        <v>4784</v>
      </c>
      <c r="T47" s="139">
        <f t="shared" si="14"/>
        <v>0</v>
      </c>
      <c r="U47" s="141">
        <v>5900</v>
      </c>
      <c r="V47" s="142">
        <f>(($U47/$S47)*100)-100</f>
        <v>23.327759197324411</v>
      </c>
      <c r="W47" s="121">
        <v>18</v>
      </c>
    </row>
    <row r="48" spans="4:26" ht="18" customHeight="1" x14ac:dyDescent="0.3">
      <c r="I48" s="246" t="s">
        <v>65</v>
      </c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121"/>
    </row>
    <row r="49" spans="9:23" ht="18" customHeight="1" thickBot="1" x14ac:dyDescent="0.35">
      <c r="I49" s="260" t="s">
        <v>54</v>
      </c>
      <c r="J49" s="260"/>
      <c r="K49" s="260"/>
      <c r="L49" s="260"/>
      <c r="M49" s="260"/>
      <c r="N49" s="260"/>
      <c r="O49" s="121"/>
      <c r="Q49" s="260" t="s">
        <v>55</v>
      </c>
      <c r="R49" s="260"/>
      <c r="S49" s="260"/>
      <c r="T49" s="260"/>
      <c r="U49" s="260"/>
      <c r="V49" s="260"/>
      <c r="W49" s="121"/>
    </row>
    <row r="50" spans="9:23" ht="18" customHeight="1" thickBot="1" x14ac:dyDescent="0.35">
      <c r="I50" s="122" t="s">
        <v>56</v>
      </c>
      <c r="J50" s="123" t="s">
        <v>57</v>
      </c>
      <c r="K50" s="124" t="s">
        <v>58</v>
      </c>
      <c r="L50" s="125" t="s">
        <v>59</v>
      </c>
      <c r="M50" s="126" t="s">
        <v>60</v>
      </c>
      <c r="N50" s="127" t="s">
        <v>61</v>
      </c>
      <c r="O50" s="121"/>
      <c r="P50" s="1"/>
      <c r="Q50" s="122" t="s">
        <v>56</v>
      </c>
      <c r="R50" s="123" t="s">
        <v>57</v>
      </c>
      <c r="S50" s="124" t="s">
        <v>58</v>
      </c>
      <c r="T50" s="125" t="s">
        <v>59</v>
      </c>
      <c r="U50" s="126" t="s">
        <v>60</v>
      </c>
      <c r="V50" s="128" t="s">
        <v>61</v>
      </c>
      <c r="W50" s="121"/>
    </row>
    <row r="51" spans="9:23" ht="14.4" x14ac:dyDescent="0.3">
      <c r="I51" s="38">
        <v>5</v>
      </c>
      <c r="J51" s="8">
        <v>45</v>
      </c>
      <c r="K51" s="129">
        <v>4512</v>
      </c>
      <c r="L51" s="130">
        <f>$D51*1.09</f>
        <v>0</v>
      </c>
      <c r="M51" s="131">
        <v>6000</v>
      </c>
      <c r="N51" s="132">
        <f>(($M51/$K51)*100)-100</f>
        <v>32.978723404255305</v>
      </c>
      <c r="O51" s="133"/>
      <c r="Q51" s="38">
        <v>5</v>
      </c>
      <c r="R51" s="8">
        <v>45</v>
      </c>
      <c r="S51" s="129">
        <v>5453</v>
      </c>
      <c r="T51" s="130">
        <f>$L51*1.19</f>
        <v>0</v>
      </c>
      <c r="U51" s="134">
        <v>1</v>
      </c>
      <c r="V51" s="135" t="s">
        <v>63</v>
      </c>
      <c r="W51" s="121"/>
    </row>
    <row r="52" spans="9:23" ht="14.4" x14ac:dyDescent="0.3">
      <c r="I52" s="40"/>
      <c r="J52" s="8">
        <v>90</v>
      </c>
      <c r="K52" s="129">
        <v>3685</v>
      </c>
      <c r="L52" s="130">
        <f>$D52*1.09</f>
        <v>0</v>
      </c>
      <c r="M52" s="131">
        <v>5300</v>
      </c>
      <c r="N52" s="132">
        <f t="shared" ref="N52:N54" si="15">(($M52/$K52)*100)-100</f>
        <v>43.826322930800529</v>
      </c>
      <c r="O52" s="133"/>
      <c r="Q52" s="40"/>
      <c r="R52" s="8">
        <v>90</v>
      </c>
      <c r="S52" s="129">
        <v>4520</v>
      </c>
      <c r="T52" s="130">
        <f>$L52*1.19</f>
        <v>0</v>
      </c>
      <c r="U52" s="134">
        <v>1</v>
      </c>
      <c r="V52" s="136" t="s">
        <v>63</v>
      </c>
      <c r="W52" s="121"/>
    </row>
    <row r="53" spans="9:23" ht="14.4" x14ac:dyDescent="0.3">
      <c r="I53" s="38">
        <v>25</v>
      </c>
      <c r="J53" s="8">
        <v>45</v>
      </c>
      <c r="K53" s="129">
        <v>4487</v>
      </c>
      <c r="L53" s="130">
        <f t="shared" ref="L53" si="16">$D53*1.09</f>
        <v>0</v>
      </c>
      <c r="M53" s="131">
        <v>5100</v>
      </c>
      <c r="N53" s="137">
        <f t="shared" si="15"/>
        <v>13.661689324715852</v>
      </c>
      <c r="O53" s="133">
        <v>9</v>
      </c>
      <c r="Q53" s="38">
        <v>25</v>
      </c>
      <c r="R53" s="8">
        <v>45</v>
      </c>
      <c r="S53" s="129">
        <v>5435</v>
      </c>
      <c r="T53" s="130">
        <f t="shared" ref="T53:T54" si="17">$L53*1.19</f>
        <v>0</v>
      </c>
      <c r="U53" s="134">
        <v>1</v>
      </c>
      <c r="V53" s="136" t="s">
        <v>63</v>
      </c>
      <c r="W53" s="121"/>
    </row>
    <row r="54" spans="9:23" ht="15" thickBot="1" x14ac:dyDescent="0.35">
      <c r="I54" s="40"/>
      <c r="J54" s="8">
        <v>90</v>
      </c>
      <c r="K54" s="138">
        <v>3674</v>
      </c>
      <c r="L54" s="139">
        <f>$D54*1.09</f>
        <v>0</v>
      </c>
      <c r="M54" s="140">
        <v>4600</v>
      </c>
      <c r="N54" s="132">
        <f t="shared" si="15"/>
        <v>25.204137180185086</v>
      </c>
      <c r="O54" s="133"/>
      <c r="Q54" s="40"/>
      <c r="R54" s="8">
        <v>90</v>
      </c>
      <c r="S54" s="138">
        <v>4511</v>
      </c>
      <c r="T54" s="139">
        <f t="shared" si="17"/>
        <v>0</v>
      </c>
      <c r="U54" s="141">
        <v>5600</v>
      </c>
      <c r="V54" s="142">
        <f>(($U54/$S54)*100)-100</f>
        <v>24.140988694302806</v>
      </c>
      <c r="W54" s="121">
        <v>19</v>
      </c>
    </row>
  </sheetData>
  <sheetProtection algorithmName="SHA-512" hashValue="xP9EbvOvrf3OyxTPlA+HjNJ8MjEF9FcpZSUyjP0+W4Tz6UUO+xeOLhIg0P7ZN8WtRK4beVPgT6YdsQ7VfhmByQ==" saltValue="5fqhjwCG/73GHnvhQXN/3w==" spinCount="100000" sheet="1" objects="1" scenarios="1"/>
  <mergeCells count="11">
    <mergeCell ref="I42:N42"/>
    <mergeCell ref="Q42:V42"/>
    <mergeCell ref="I48:V48"/>
    <mergeCell ref="I49:N49"/>
    <mergeCell ref="Q49:V49"/>
    <mergeCell ref="I41:V41"/>
    <mergeCell ref="B2:D2"/>
    <mergeCell ref="I9:J9"/>
    <mergeCell ref="I11:I15"/>
    <mergeCell ref="I17:I21"/>
    <mergeCell ref="F28:H28"/>
  </mergeCells>
  <pageMargins left="0.39370078740157483" right="0" top="0.39370078740157483" bottom="0" header="0" footer="0"/>
  <pageSetup paperSize="9" scale="76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Z50"/>
  <sheetViews>
    <sheetView workbookViewId="0">
      <selection activeCell="D22" sqref="D22"/>
    </sheetView>
  </sheetViews>
  <sheetFormatPr baseColWidth="10" defaultRowHeight="12.6" x14ac:dyDescent="0.25"/>
  <cols>
    <col min="1" max="1" width="1.6640625" customWidth="1"/>
    <col min="2" max="2" width="39.109375" bestFit="1" customWidth="1"/>
    <col min="3" max="3" width="14.6640625" customWidth="1"/>
    <col min="4" max="4" width="17.44140625" customWidth="1"/>
    <col min="5" max="5" width="1.6640625" customWidth="1"/>
    <col min="6" max="7" width="10.77734375" hidden="1" customWidth="1"/>
    <col min="8" max="8" width="15.33203125" hidden="1" customWidth="1"/>
    <col min="9" max="10" width="5.77734375" hidden="1" customWidth="1"/>
    <col min="11" max="26" width="6.77734375" hidden="1" customWidth="1"/>
  </cols>
  <sheetData>
    <row r="1" spans="2:22" ht="13.2" x14ac:dyDescent="0.25">
      <c r="B1" s="49" t="s">
        <v>41</v>
      </c>
    </row>
    <row r="2" spans="2:22" ht="18" customHeight="1" x14ac:dyDescent="0.25">
      <c r="B2" s="241" t="s">
        <v>32</v>
      </c>
      <c r="C2" s="242"/>
      <c r="D2" s="242"/>
      <c r="E2" s="37"/>
      <c r="F2" s="37"/>
      <c r="G2" s="37"/>
      <c r="H2" s="37"/>
    </row>
    <row r="3" spans="2:22" ht="18" customHeight="1" x14ac:dyDescent="0.25">
      <c r="B3" s="44" t="s">
        <v>38</v>
      </c>
      <c r="C3" s="48"/>
      <c r="D3" s="48"/>
      <c r="E3" s="37"/>
      <c r="F3" s="37"/>
      <c r="G3" s="37"/>
      <c r="H3" s="37"/>
    </row>
    <row r="4" spans="2:22" ht="18" customHeight="1" x14ac:dyDescent="0.25">
      <c r="B4" s="52" t="s">
        <v>37</v>
      </c>
      <c r="C4" s="48"/>
      <c r="D4" s="48"/>
      <c r="E4" s="37"/>
      <c r="F4" s="37"/>
      <c r="G4" s="37"/>
      <c r="H4" s="37"/>
    </row>
    <row r="5" spans="2:22" ht="4.95" hidden="1" customHeight="1" x14ac:dyDescent="0.25"/>
    <row r="6" spans="2:22" ht="18" hidden="1" customHeight="1" x14ac:dyDescent="0.3">
      <c r="B6" s="3" t="s">
        <v>6</v>
      </c>
    </row>
    <row r="7" spans="2:22" ht="18" hidden="1" customHeight="1" x14ac:dyDescent="0.25">
      <c r="B7" s="15" t="s">
        <v>2</v>
      </c>
      <c r="C7" s="9" t="s">
        <v>3</v>
      </c>
    </row>
    <row r="8" spans="2:22" ht="18" hidden="1" customHeight="1" x14ac:dyDescent="0.25">
      <c r="B8" s="6" t="s">
        <v>28</v>
      </c>
      <c r="C8" s="10" t="s">
        <v>30</v>
      </c>
      <c r="D8" s="92">
        <v>2.4369999999999998</v>
      </c>
      <c r="F8" s="24"/>
      <c r="G8" s="25"/>
      <c r="H8" s="25"/>
    </row>
    <row r="9" spans="2:22" ht="18" hidden="1" customHeight="1" x14ac:dyDescent="0.25">
      <c r="B9" s="6" t="s">
        <v>23</v>
      </c>
      <c r="C9" s="10" t="s">
        <v>30</v>
      </c>
      <c r="D9" s="92">
        <v>5.3689999999999998</v>
      </c>
      <c r="F9" s="26"/>
      <c r="G9" s="24"/>
      <c r="H9" s="24"/>
    </row>
    <row r="10" spans="2:22" ht="18" hidden="1" customHeight="1" x14ac:dyDescent="0.25">
      <c r="B10" s="6" t="s">
        <v>29</v>
      </c>
      <c r="C10" s="10" t="s">
        <v>12</v>
      </c>
      <c r="D10" s="93">
        <v>169.47</v>
      </c>
    </row>
    <row r="11" spans="2:22" ht="18" hidden="1" customHeight="1" x14ac:dyDescent="0.25">
      <c r="B11" s="6" t="s">
        <v>11</v>
      </c>
      <c r="C11" s="10" t="s">
        <v>12</v>
      </c>
      <c r="D11" s="93">
        <v>55.853000000000002</v>
      </c>
      <c r="F11" s="24"/>
      <c r="G11" s="24"/>
    </row>
    <row r="12" spans="2:22" ht="18" hidden="1" customHeight="1" x14ac:dyDescent="0.25">
      <c r="B12" s="8" t="s">
        <v>7</v>
      </c>
      <c r="C12" s="7" t="s">
        <v>18</v>
      </c>
      <c r="D12" s="94">
        <v>7000</v>
      </c>
    </row>
    <row r="13" spans="2:22" ht="18" hidden="1" customHeight="1" x14ac:dyDescent="0.25">
      <c r="B13" s="8" t="s">
        <v>8</v>
      </c>
      <c r="C13" s="7" t="s">
        <v>18</v>
      </c>
      <c r="D13" s="94">
        <v>21000</v>
      </c>
    </row>
    <row r="14" spans="2:22" ht="18" hidden="1" customHeight="1" x14ac:dyDescent="0.25">
      <c r="B14" s="8" t="s">
        <v>14</v>
      </c>
      <c r="C14" s="4" t="s">
        <v>13</v>
      </c>
      <c r="D14" s="94">
        <v>1.2999999999999999E-2</v>
      </c>
    </row>
    <row r="15" spans="2:22" ht="18" hidden="1" customHeight="1" x14ac:dyDescent="0.25">
      <c r="F15" s="53" t="s">
        <v>9</v>
      </c>
      <c r="G15" s="53" t="s">
        <v>10</v>
      </c>
      <c r="I15" s="81" t="s">
        <v>47</v>
      </c>
    </row>
    <row r="16" spans="2:22" ht="18" customHeight="1" x14ac:dyDescent="0.3">
      <c r="B16" s="3" t="s">
        <v>0</v>
      </c>
      <c r="F16" s="61">
        <v>5</v>
      </c>
      <c r="G16" s="62">
        <v>0.8</v>
      </c>
      <c r="I16" s="261" t="s">
        <v>46</v>
      </c>
      <c r="J16" s="262"/>
      <c r="K16" s="71">
        <v>0.6</v>
      </c>
      <c r="L16" s="79">
        <v>0.6</v>
      </c>
      <c r="M16" s="72">
        <v>0.6</v>
      </c>
      <c r="N16" s="79">
        <v>0.6</v>
      </c>
      <c r="O16" s="71">
        <v>0.7</v>
      </c>
      <c r="P16" s="79">
        <v>0.7</v>
      </c>
      <c r="Q16" s="72">
        <v>0.7</v>
      </c>
      <c r="R16" s="73">
        <v>0.7</v>
      </c>
      <c r="S16" s="79">
        <v>0.8</v>
      </c>
      <c r="T16" s="79">
        <v>0.8</v>
      </c>
      <c r="U16" s="72">
        <v>0.8</v>
      </c>
      <c r="V16" s="73">
        <v>0.8</v>
      </c>
    </row>
    <row r="17" spans="2:26" ht="18" customHeight="1" x14ac:dyDescent="0.25">
      <c r="B17" s="11" t="s">
        <v>2</v>
      </c>
      <c r="C17" s="17" t="s">
        <v>3</v>
      </c>
      <c r="D17" s="103" t="s">
        <v>31</v>
      </c>
      <c r="F17" s="54">
        <v>10</v>
      </c>
      <c r="G17" s="55">
        <v>0.8</v>
      </c>
      <c r="I17" s="261" t="s">
        <v>9</v>
      </c>
      <c r="J17" s="262"/>
      <c r="K17" s="75">
        <v>5</v>
      </c>
      <c r="L17" s="76">
        <v>15</v>
      </c>
      <c r="M17" s="76">
        <v>25</v>
      </c>
      <c r="N17" s="85">
        <v>35</v>
      </c>
      <c r="O17" s="75">
        <v>5</v>
      </c>
      <c r="P17" s="76">
        <v>15</v>
      </c>
      <c r="Q17" s="76">
        <v>25</v>
      </c>
      <c r="R17" s="77">
        <v>35</v>
      </c>
      <c r="S17" s="86">
        <v>5</v>
      </c>
      <c r="T17" s="76">
        <v>15</v>
      </c>
      <c r="U17" s="76">
        <v>25</v>
      </c>
      <c r="V17" s="77">
        <v>35</v>
      </c>
    </row>
    <row r="18" spans="2:26" ht="18" customHeight="1" x14ac:dyDescent="0.25">
      <c r="B18" s="6" t="s">
        <v>24</v>
      </c>
      <c r="C18" s="7" t="s">
        <v>4</v>
      </c>
      <c r="D18" s="97">
        <v>35</v>
      </c>
      <c r="F18" s="54">
        <v>15</v>
      </c>
      <c r="G18" s="55">
        <v>0.8</v>
      </c>
      <c r="I18" s="267" t="s">
        <v>45</v>
      </c>
      <c r="J18" s="74">
        <v>45</v>
      </c>
      <c r="K18" s="84">
        <f>(($D$10*$D$12*10000/($D$21*$D$14*((K$16*(((VLOOKUP(K$17,$F$16:$G$26,2))*($J18/COS(K$17*PI()/180))))+((K$16-0.022)*$D$18))+($D$8/COS(K$17*PI()/180)))))^(1/3))/100</f>
        <v>4.6853911610316308</v>
      </c>
      <c r="L18" s="84">
        <f t="shared" ref="L18:V18" si="0">(($D$10*$D$12*10000/($D$21*$D$14*((L$16*(((VLOOKUP(L$17,$F$16:$G$26,2))*($J18/COS(L$17*PI()/180))))+((L$16-0.022)*$D$18))+($D$8/COS(L$17*PI()/180)))))^(1/3))/100</f>
        <v>4.6590681865376071</v>
      </c>
      <c r="M18" s="84">
        <f t="shared" si="0"/>
        <v>4.6040436675522249</v>
      </c>
      <c r="N18" s="84">
        <f t="shared" si="0"/>
        <v>4.6568658895781549</v>
      </c>
      <c r="O18" s="84">
        <f t="shared" si="0"/>
        <v>4.4587579096442997</v>
      </c>
      <c r="P18" s="84">
        <f t="shared" si="0"/>
        <v>4.4339344582918185</v>
      </c>
      <c r="Q18" s="84">
        <f t="shared" si="0"/>
        <v>4.3820282702079361</v>
      </c>
      <c r="R18" s="84">
        <f t="shared" si="0"/>
        <v>4.4339523539405876</v>
      </c>
      <c r="S18" s="84">
        <f t="shared" si="0"/>
        <v>4.2704512326701902</v>
      </c>
      <c r="T18" s="84">
        <f t="shared" si="0"/>
        <v>4.2468402692528695</v>
      </c>
      <c r="U18" s="84">
        <f t="shared" si="0"/>
        <v>4.1974577260902661</v>
      </c>
      <c r="V18" s="104">
        <f t="shared" si="0"/>
        <v>4.2483933137531222</v>
      </c>
    </row>
    <row r="19" spans="2:26" ht="18" customHeight="1" x14ac:dyDescent="0.25">
      <c r="B19" s="6" t="s">
        <v>25</v>
      </c>
      <c r="C19" s="7" t="s">
        <v>4</v>
      </c>
      <c r="D19" s="98">
        <v>45</v>
      </c>
      <c r="F19" s="54">
        <v>20</v>
      </c>
      <c r="G19" s="55">
        <v>0.8</v>
      </c>
      <c r="I19" s="264"/>
      <c r="J19" s="69">
        <v>55</v>
      </c>
      <c r="K19" s="84">
        <f t="shared" ref="K19:V21" si="1">(($D$10*$D$12*10000/($D$21*$D$14*((K$16*(((VLOOKUP(K$17,$F$16:$G$26,2))*($J19/COS(K$17*PI()/180))))+((K$16-0.022)*$D$18))+($D$8/COS(K$17*PI()/180)))))^(1/3))/100</f>
        <v>4.5270787296659867</v>
      </c>
      <c r="L19" s="84">
        <f t="shared" si="1"/>
        <v>4.4995811524593332</v>
      </c>
      <c r="M19" s="84">
        <f t="shared" si="1"/>
        <v>4.4422621978500088</v>
      </c>
      <c r="N19" s="84">
        <f t="shared" si="1"/>
        <v>4.5002458846545821</v>
      </c>
      <c r="O19" s="84">
        <f t="shared" si="1"/>
        <v>4.307339646358912</v>
      </c>
      <c r="P19" s="84">
        <f t="shared" si="1"/>
        <v>4.2813638727137491</v>
      </c>
      <c r="Q19" s="84">
        <f t="shared" si="1"/>
        <v>4.2272026824976185</v>
      </c>
      <c r="R19" s="84">
        <f t="shared" si="1"/>
        <v>4.2838516607019246</v>
      </c>
      <c r="S19" s="84">
        <f t="shared" si="1"/>
        <v>4.1248745357225971</v>
      </c>
      <c r="T19" s="84">
        <f t="shared" si="1"/>
        <v>4.1001346922172219</v>
      </c>
      <c r="U19" s="84">
        <f t="shared" si="1"/>
        <v>4.0485400813539352</v>
      </c>
      <c r="V19" s="104">
        <f t="shared" si="1"/>
        <v>4.1038635537275283</v>
      </c>
    </row>
    <row r="20" spans="2:26" ht="18" customHeight="1" x14ac:dyDescent="0.25">
      <c r="B20" s="6" t="s">
        <v>1</v>
      </c>
      <c r="C20" s="7" t="s">
        <v>5</v>
      </c>
      <c r="D20" s="99">
        <v>0.8</v>
      </c>
      <c r="F20" s="54">
        <v>25</v>
      </c>
      <c r="G20" s="55">
        <v>0.8</v>
      </c>
      <c r="I20" s="264"/>
      <c r="J20" s="69">
        <v>65</v>
      </c>
      <c r="K20" s="84">
        <f t="shared" si="1"/>
        <v>4.3882027369783287</v>
      </c>
      <c r="L20" s="84">
        <f t="shared" si="1"/>
        <v>4.3599078065245704</v>
      </c>
      <c r="M20" s="84">
        <f t="shared" si="1"/>
        <v>4.3010619413893298</v>
      </c>
      <c r="N20" s="84">
        <f t="shared" si="1"/>
        <v>4.3627735816760458</v>
      </c>
      <c r="O20" s="84">
        <f t="shared" si="1"/>
        <v>4.1745969808482393</v>
      </c>
      <c r="P20" s="84">
        <f t="shared" si="1"/>
        <v>4.1478372545350313</v>
      </c>
      <c r="Q20" s="84">
        <f t="shared" si="1"/>
        <v>4.0921712954752572</v>
      </c>
      <c r="R20" s="84">
        <f t="shared" si="1"/>
        <v>4.1522109726273468</v>
      </c>
      <c r="S20" s="84">
        <f t="shared" si="1"/>
        <v>3.997315154815547</v>
      </c>
      <c r="T20" s="84">
        <f t="shared" si="1"/>
        <v>3.9718061153259598</v>
      </c>
      <c r="U20" s="84">
        <f t="shared" si="1"/>
        <v>3.9187325481711586</v>
      </c>
      <c r="V20" s="104">
        <f t="shared" si="1"/>
        <v>3.9771884422616433</v>
      </c>
    </row>
    <row r="21" spans="2:26" ht="18" hidden="1" customHeight="1" x14ac:dyDescent="0.25">
      <c r="B21" s="6" t="s">
        <v>22</v>
      </c>
      <c r="C21" s="6"/>
      <c r="D21" s="102">
        <v>200</v>
      </c>
      <c r="F21" s="54">
        <v>30</v>
      </c>
      <c r="G21" s="55">
        <f>0.8*(60-$F21)/30</f>
        <v>0.8</v>
      </c>
      <c r="I21" s="264"/>
      <c r="J21" s="70">
        <v>90</v>
      </c>
      <c r="K21" s="105">
        <f t="shared" si="1"/>
        <v>4.1033060681047155</v>
      </c>
      <c r="L21" s="105">
        <f t="shared" si="1"/>
        <v>4.0739979095984387</v>
      </c>
      <c r="M21" s="105">
        <f t="shared" si="1"/>
        <v>4.0133033893923225</v>
      </c>
      <c r="N21" s="105">
        <f t="shared" si="1"/>
        <v>4.0805392092888715</v>
      </c>
      <c r="O21" s="105">
        <f t="shared" si="1"/>
        <v>3.902511596439473</v>
      </c>
      <c r="P21" s="105">
        <f t="shared" si="1"/>
        <v>3.8747480105661447</v>
      </c>
      <c r="Q21" s="105">
        <f t="shared" si="1"/>
        <v>3.817242220555626</v>
      </c>
      <c r="R21" s="105">
        <f t="shared" si="1"/>
        <v>3.8822421986204341</v>
      </c>
      <c r="S21" s="105">
        <f t="shared" si="1"/>
        <v>3.7360202842528669</v>
      </c>
      <c r="T21" s="105">
        <f t="shared" si="1"/>
        <v>3.7095209352306231</v>
      </c>
      <c r="U21" s="105">
        <f t="shared" si="1"/>
        <v>3.6546265541853207</v>
      </c>
      <c r="V21" s="106">
        <f t="shared" si="1"/>
        <v>3.7176164898948296</v>
      </c>
    </row>
    <row r="22" spans="2:26" ht="18" customHeight="1" x14ac:dyDescent="0.25">
      <c r="B22" s="101" t="s">
        <v>52</v>
      </c>
      <c r="C22" s="87"/>
      <c r="D22" s="98">
        <v>35</v>
      </c>
      <c r="F22" s="54">
        <v>31</v>
      </c>
      <c r="G22" s="55">
        <f t="shared" ref="G22:G26" si="2">0.8*(60-$F22)/30</f>
        <v>0.77333333333333343</v>
      </c>
      <c r="I22" s="81" t="s">
        <v>48</v>
      </c>
    </row>
    <row r="23" spans="2:26" ht="18" customHeight="1" x14ac:dyDescent="0.25">
      <c r="F23" s="56">
        <v>32</v>
      </c>
      <c r="G23" s="55">
        <f t="shared" si="2"/>
        <v>0.7466666666666667</v>
      </c>
      <c r="I23" s="263" t="s">
        <v>45</v>
      </c>
      <c r="J23" s="80">
        <v>45</v>
      </c>
      <c r="K23" s="82">
        <f>(((($D$10*$D$12)+($D$11*$D$13))*10000/($D$21*$D$14*((K$16*(((VLOOKUP(K$17,$F$16:$G$26,2))*($J18/COS(K$17*PI()/180))))+((K$16-0.022)*$D$18))+(($D$8+$D$9)/COS(K$17*PI()/180)))))^(1/3))/100</f>
        <v>5.6711503823979443</v>
      </c>
      <c r="L23" s="82">
        <f t="shared" ref="L23:V23" si="3">(((($D$10*$D$12)+($D$11*$D$13))*10000/($D$21*$D$14*((L$16*(((VLOOKUP(L$17,$F$16:$G$26,2))*($J18/COS(L$17*PI()/180))))+((L$16-0.022)*$D$18))+(($D$8+$D$9)/COS(L$17*PI()/180)))))^(1/3))/100</f>
        <v>5.636430665890674</v>
      </c>
      <c r="M23" s="82">
        <f t="shared" si="3"/>
        <v>5.5640784888122017</v>
      </c>
      <c r="N23" s="82">
        <f t="shared" si="3"/>
        <v>5.5976692694024459</v>
      </c>
      <c r="O23" s="82">
        <f t="shared" si="3"/>
        <v>5.4240424546942254</v>
      </c>
      <c r="P23" s="82">
        <f t="shared" si="3"/>
        <v>5.3914260485889578</v>
      </c>
      <c r="Q23" s="82">
        <f t="shared" si="3"/>
        <v>5.323411483901638</v>
      </c>
      <c r="R23" s="82">
        <f t="shared" si="3"/>
        <v>5.3608825249510508</v>
      </c>
      <c r="S23" s="82">
        <f t="shared" si="3"/>
        <v>5.2150524492531822</v>
      </c>
      <c r="T23" s="82">
        <f t="shared" si="3"/>
        <v>5.1841344035834593</v>
      </c>
      <c r="U23" s="82">
        <f t="shared" si="3"/>
        <v>5.119627848316326</v>
      </c>
      <c r="V23" s="107">
        <f t="shared" si="3"/>
        <v>5.1596741598268991</v>
      </c>
    </row>
    <row r="24" spans="2:26" ht="18" customHeight="1" x14ac:dyDescent="0.3">
      <c r="B24" s="3" t="s">
        <v>19</v>
      </c>
      <c r="C24" s="14" t="s">
        <v>16</v>
      </c>
      <c r="D24" s="67" t="s">
        <v>17</v>
      </c>
      <c r="F24" s="56">
        <v>33</v>
      </c>
      <c r="G24" s="55">
        <f t="shared" si="2"/>
        <v>0.72000000000000008</v>
      </c>
      <c r="I24" s="264"/>
      <c r="J24" s="69">
        <v>55</v>
      </c>
      <c r="K24" s="82">
        <f t="shared" ref="K24:V26" si="4">(((($D$10*$D$12)+($D$11*$D$13))*10000/($D$21*$D$14*((K$16*(((VLOOKUP(K$17,$F$16:$G$26,2))*($J19/COS(K$17*PI()/180))))+((K$16-0.022)*$D$18))+(($D$8+$D$9)/COS(K$17*PI()/180)))))^(1/3))/100</f>
        <v>5.4990566509793686</v>
      </c>
      <c r="L24" s="82">
        <f t="shared" si="4"/>
        <v>5.4633794895974566</v>
      </c>
      <c r="M24" s="82">
        <f t="shared" si="4"/>
        <v>5.3891987176661891</v>
      </c>
      <c r="N24" s="82">
        <f t="shared" si="4"/>
        <v>5.431876477456786</v>
      </c>
      <c r="O24" s="82">
        <f t="shared" si="4"/>
        <v>5.256245134011639</v>
      </c>
      <c r="P24" s="82">
        <f t="shared" si="4"/>
        <v>5.2226270385856735</v>
      </c>
      <c r="Q24" s="82">
        <f t="shared" si="4"/>
        <v>5.1526880729866358</v>
      </c>
      <c r="R24" s="82">
        <f t="shared" si="4"/>
        <v>5.1984009739696084</v>
      </c>
      <c r="S24" s="82">
        <f t="shared" si="4"/>
        <v>5.0513314641660116</v>
      </c>
      <c r="T24" s="82">
        <f t="shared" si="4"/>
        <v>5.0193844051771226</v>
      </c>
      <c r="U24" s="82">
        <f t="shared" si="4"/>
        <v>4.9528927641731011</v>
      </c>
      <c r="V24" s="107">
        <f t="shared" si="4"/>
        <v>5.0005076775642321</v>
      </c>
    </row>
    <row r="25" spans="2:26" ht="18" hidden="1" customHeight="1" x14ac:dyDescent="0.3">
      <c r="B25" s="13" t="s">
        <v>15</v>
      </c>
      <c r="C25" s="60">
        <f>($D$20*($G$27*$D$19))+(($D$20-0.022)*($D$18/COS($D$22*PI()/180)))+($D$8/COS($D$22*PI()/180))</f>
        <v>60.216719724786117</v>
      </c>
      <c r="D25" s="59">
        <f>($D$20*($G$27*$D$19))+(($D$20-0.022)*($D$18/COS($D$22*PI()/180)))+(($D$8+$D$9)/COS(K$17*PI()/180))</f>
        <v>65.077509703837819</v>
      </c>
      <c r="F25" s="56">
        <v>34</v>
      </c>
      <c r="G25" s="55">
        <f t="shared" si="2"/>
        <v>0.69333333333333336</v>
      </c>
      <c r="I25" s="264"/>
      <c r="J25" s="69">
        <v>65</v>
      </c>
      <c r="K25" s="82">
        <f t="shared" si="4"/>
        <v>5.3461163876859574</v>
      </c>
      <c r="L25" s="82">
        <f t="shared" si="4"/>
        <v>5.3097958584700109</v>
      </c>
      <c r="M25" s="82">
        <f t="shared" si="4"/>
        <v>5.2344187659029124</v>
      </c>
      <c r="N25" s="82">
        <f t="shared" si="4"/>
        <v>5.2841294225039777</v>
      </c>
      <c r="O25" s="82">
        <f t="shared" si="4"/>
        <v>5.1074558399766268</v>
      </c>
      <c r="P25" s="82">
        <f t="shared" si="4"/>
        <v>5.0731604226845999</v>
      </c>
      <c r="Q25" s="82">
        <f t="shared" si="4"/>
        <v>5.0019516590898245</v>
      </c>
      <c r="R25" s="82">
        <f t="shared" si="4"/>
        <v>5.0539830022823713</v>
      </c>
      <c r="S25" s="82">
        <f t="shared" si="4"/>
        <v>4.906407932128741</v>
      </c>
      <c r="T25" s="82">
        <f t="shared" si="4"/>
        <v>4.8737623617711199</v>
      </c>
      <c r="U25" s="82">
        <f t="shared" si="4"/>
        <v>4.8059538596040827</v>
      </c>
      <c r="V25" s="107">
        <f t="shared" si="4"/>
        <v>4.8593247140980447</v>
      </c>
    </row>
    <row r="26" spans="2:26" ht="18" customHeight="1" x14ac:dyDescent="0.3">
      <c r="B26" s="13" t="s">
        <v>51</v>
      </c>
      <c r="C26" s="115">
        <f>((D10*D12*10000/(D21*D14*C25))^(1/3))/100</f>
        <v>4.2315564861032273</v>
      </c>
      <c r="D26" s="115">
        <f>((((D10*D12)+(D11*D13))*10000/(D21*D14*D25))^(1/3))/100</f>
        <v>5.1854567072636</v>
      </c>
      <c r="F26" s="63">
        <v>35</v>
      </c>
      <c r="G26" s="64">
        <f t="shared" si="2"/>
        <v>0.66666666666666663</v>
      </c>
      <c r="I26" s="264"/>
      <c r="J26" s="70">
        <v>90</v>
      </c>
      <c r="K26" s="108">
        <f t="shared" si="4"/>
        <v>5.0269212262131866</v>
      </c>
      <c r="L26" s="108">
        <f t="shared" si="4"/>
        <v>4.9898373368023705</v>
      </c>
      <c r="M26" s="108">
        <f t="shared" si="4"/>
        <v>4.9131498819538351</v>
      </c>
      <c r="N26" s="108">
        <f t="shared" si="4"/>
        <v>4.974627679844664</v>
      </c>
      <c r="O26" s="108">
        <f t="shared" si="4"/>
        <v>4.7978511903567291</v>
      </c>
      <c r="P26" s="108">
        <f t="shared" si="4"/>
        <v>4.762730701552492</v>
      </c>
      <c r="Q26" s="108">
        <f t="shared" si="4"/>
        <v>4.6900781714067437</v>
      </c>
      <c r="R26" s="108">
        <f t="shared" si="4"/>
        <v>4.7525180957674324</v>
      </c>
      <c r="S26" s="108">
        <f t="shared" si="4"/>
        <v>4.6055427351448461</v>
      </c>
      <c r="T26" s="108">
        <f t="shared" si="4"/>
        <v>4.5720319177584683</v>
      </c>
      <c r="U26" s="108">
        <f t="shared" si="4"/>
        <v>4.5026906947747936</v>
      </c>
      <c r="V26" s="109">
        <f t="shared" si="4"/>
        <v>4.5654173294244922</v>
      </c>
    </row>
    <row r="27" spans="2:26" ht="18" customHeight="1" x14ac:dyDescent="0.25">
      <c r="F27" s="66" t="s">
        <v>42</v>
      </c>
      <c r="G27" s="65">
        <f>VLOOKUP(D22,F16:G26,2)</f>
        <v>0.66666666666666663</v>
      </c>
    </row>
    <row r="28" spans="2:26" ht="18" customHeight="1" x14ac:dyDescent="0.25">
      <c r="F28" s="245"/>
      <c r="G28" s="245"/>
      <c r="H28" s="245"/>
      <c r="I28" s="78" t="s">
        <v>49</v>
      </c>
    </row>
    <row r="29" spans="2:26" ht="18" customHeight="1" x14ac:dyDescent="0.25">
      <c r="F29" s="265"/>
      <c r="G29" s="266"/>
      <c r="H29" s="266"/>
      <c r="I29" s="261" t="s">
        <v>46</v>
      </c>
      <c r="J29" s="262"/>
      <c r="K29" s="71">
        <v>1</v>
      </c>
      <c r="L29" s="79">
        <v>1</v>
      </c>
      <c r="M29" s="72">
        <v>1</v>
      </c>
      <c r="N29" s="79">
        <v>1</v>
      </c>
      <c r="O29" s="71">
        <v>1.1000000000000001</v>
      </c>
      <c r="P29" s="79">
        <v>1.1000000000000001</v>
      </c>
      <c r="Q29" s="72">
        <v>1.1000000000000001</v>
      </c>
      <c r="R29" s="73">
        <v>1.1000000000000001</v>
      </c>
      <c r="S29" s="79">
        <v>1.2</v>
      </c>
      <c r="T29" s="79">
        <v>1.2</v>
      </c>
      <c r="U29" s="72">
        <v>1.2</v>
      </c>
      <c r="V29" s="79">
        <v>1.2</v>
      </c>
      <c r="W29" s="71">
        <v>1.3</v>
      </c>
      <c r="X29" s="79">
        <v>1.3</v>
      </c>
      <c r="Y29" s="72">
        <v>1.3</v>
      </c>
      <c r="Z29" s="73">
        <v>1.3</v>
      </c>
    </row>
    <row r="30" spans="2:26" ht="18" customHeight="1" x14ac:dyDescent="0.25">
      <c r="I30" s="261" t="s">
        <v>9</v>
      </c>
      <c r="J30" s="262"/>
      <c r="K30" s="75">
        <v>5</v>
      </c>
      <c r="L30" s="76">
        <v>15</v>
      </c>
      <c r="M30" s="76">
        <v>25</v>
      </c>
      <c r="N30" s="77">
        <v>35</v>
      </c>
      <c r="O30" s="75">
        <v>5</v>
      </c>
      <c r="P30" s="76">
        <v>15</v>
      </c>
      <c r="Q30" s="76">
        <v>25</v>
      </c>
      <c r="R30" s="77">
        <v>35</v>
      </c>
      <c r="S30" s="75">
        <v>5</v>
      </c>
      <c r="T30" s="76">
        <v>15</v>
      </c>
      <c r="U30" s="76">
        <v>25</v>
      </c>
      <c r="V30" s="77">
        <v>35</v>
      </c>
      <c r="W30" s="75">
        <v>5</v>
      </c>
      <c r="X30" s="76">
        <v>15</v>
      </c>
      <c r="Y30" s="76">
        <v>25</v>
      </c>
      <c r="Z30" s="77">
        <v>35</v>
      </c>
    </row>
    <row r="31" spans="2:26" ht="18" customHeight="1" x14ac:dyDescent="0.25">
      <c r="I31" s="263" t="s">
        <v>45</v>
      </c>
      <c r="J31" s="80">
        <v>45</v>
      </c>
      <c r="K31" s="83">
        <f>(($D$10*$D$12*10000/($D$21*$D$14*((K$29*(((VLOOKUP(K$30,$F$16:$G$26,2))*($J18/COS(K$30*PI()/180))))+((K$29-0.022)*5))+($D$8/COS(K$30*PI()/180)))))^(1/3))/100</f>
        <v>4.716971250093966</v>
      </c>
      <c r="L31" s="88">
        <f t="shared" ref="L31:Z31" si="5">(($D$10*$D$12*10000/($D$21*$D$14*((L$29*(((VLOOKUP(L$30,$F$16:$G$26,2))*($J18/COS(L$30*PI()/180))))+((L$29-0.022)*5))+($D$8/COS(L$30*PI()/180)))))^(1/3))/100</f>
        <v>4.6740356698546268</v>
      </c>
      <c r="M31" s="88">
        <f t="shared" si="5"/>
        <v>4.5861735279177722</v>
      </c>
      <c r="N31" s="89">
        <f t="shared" si="5"/>
        <v>4.6808423715372109</v>
      </c>
      <c r="O31" s="83">
        <f t="shared" si="5"/>
        <v>4.5769340070637723</v>
      </c>
      <c r="P31" s="88">
        <f t="shared" si="5"/>
        <v>4.5353092042595584</v>
      </c>
      <c r="Q31" s="88">
        <f t="shared" si="5"/>
        <v>4.4501253314696303</v>
      </c>
      <c r="R31" s="89">
        <f t="shared" si="5"/>
        <v>4.543352912667916</v>
      </c>
      <c r="S31" s="83">
        <f t="shared" si="5"/>
        <v>4.4521721310995988</v>
      </c>
      <c r="T31" s="88">
        <f t="shared" si="5"/>
        <v>4.4117115067795449</v>
      </c>
      <c r="U31" s="88">
        <f t="shared" si="5"/>
        <v>4.3289067637464029</v>
      </c>
      <c r="V31" s="89">
        <f t="shared" si="5"/>
        <v>4.4207144859861351</v>
      </c>
      <c r="W31" s="83">
        <f t="shared" si="5"/>
        <v>4.3399893475632298</v>
      </c>
      <c r="X31" s="88">
        <f t="shared" si="5"/>
        <v>4.3005727697705689</v>
      </c>
      <c r="Y31" s="88">
        <f t="shared" si="5"/>
        <v>4.2199019590867346</v>
      </c>
      <c r="Z31" s="89">
        <f t="shared" si="5"/>
        <v>4.3103294061373125</v>
      </c>
    </row>
    <row r="32" spans="2:26" ht="18" customHeight="1" x14ac:dyDescent="0.25">
      <c r="I32" s="264"/>
      <c r="J32" s="69">
        <v>55</v>
      </c>
      <c r="K32" s="83">
        <f t="shared" ref="K32:Z34" si="6">(($D$10*$D$12*10000/($D$21*$D$14*((K$29*(((VLOOKUP(K$30,$F$16:$G$26,2))*($J19/COS(K$30*PI()/180))))+((K$29-0.022)*5))+($D$8/COS(K$30*PI()/180)))))^(1/3))/100</f>
        <v>4.4578397001393064</v>
      </c>
      <c r="L32" s="88">
        <f t="shared" si="6"/>
        <v>4.4164757857504569</v>
      </c>
      <c r="M32" s="88">
        <f t="shared" si="6"/>
        <v>4.3319202407916393</v>
      </c>
      <c r="N32" s="89">
        <f t="shared" si="6"/>
        <v>4.4259206384375487</v>
      </c>
      <c r="O32" s="83">
        <f t="shared" si="6"/>
        <v>4.3243924018048743</v>
      </c>
      <c r="P32" s="88">
        <f t="shared" si="6"/>
        <v>4.2842923266572575</v>
      </c>
      <c r="Q32" s="88">
        <f t="shared" si="6"/>
        <v>4.2023173699158267</v>
      </c>
      <c r="R32" s="89">
        <f t="shared" si="6"/>
        <v>4.2946156298718483</v>
      </c>
      <c r="S32" s="83">
        <f t="shared" si="6"/>
        <v>4.2056130537740151</v>
      </c>
      <c r="T32" s="88">
        <f t="shared" si="6"/>
        <v>4.1666353193647492</v>
      </c>
      <c r="U32" s="88">
        <f t="shared" si="6"/>
        <v>4.0869523229227864</v>
      </c>
      <c r="V32" s="89">
        <f t="shared" si="6"/>
        <v>4.1776243005208666</v>
      </c>
      <c r="W32" s="83">
        <f t="shared" si="6"/>
        <v>4.0988942775979273</v>
      </c>
      <c r="X32" s="88">
        <f t="shared" si="6"/>
        <v>4.0609229625804524</v>
      </c>
      <c r="Y32" s="88">
        <f t="shared" si="6"/>
        <v>3.9832954230332587</v>
      </c>
      <c r="Z32" s="89">
        <f t="shared" si="6"/>
        <v>4.0724216206318502</v>
      </c>
    </row>
    <row r="33" spans="4:26" ht="18" customHeight="1" x14ac:dyDescent="0.25">
      <c r="I33" s="264"/>
      <c r="J33" s="69">
        <v>65</v>
      </c>
      <c r="K33" s="83">
        <f t="shared" si="6"/>
        <v>4.2476481241015556</v>
      </c>
      <c r="L33" s="88">
        <f t="shared" si="6"/>
        <v>4.2076872777468131</v>
      </c>
      <c r="M33" s="88">
        <f t="shared" si="6"/>
        <v>4.1260634838909818</v>
      </c>
      <c r="N33" s="89">
        <f t="shared" si="6"/>
        <v>4.2187849432724223</v>
      </c>
      <c r="O33" s="83">
        <f t="shared" si="6"/>
        <v>4.1197261173660618</v>
      </c>
      <c r="P33" s="88">
        <f t="shared" si="6"/>
        <v>4.0809879006198324</v>
      </c>
      <c r="Q33" s="88">
        <f t="shared" si="6"/>
        <v>4.0018592170737977</v>
      </c>
      <c r="R33" s="89">
        <f t="shared" si="6"/>
        <v>4.0927164983857836</v>
      </c>
      <c r="S33" s="83">
        <f t="shared" si="6"/>
        <v>4.0059425776908855</v>
      </c>
      <c r="T33" s="88">
        <f t="shared" si="6"/>
        <v>3.9682899160696805</v>
      </c>
      <c r="U33" s="88">
        <f t="shared" si="6"/>
        <v>3.8913768286329304</v>
      </c>
      <c r="V33" s="89">
        <f t="shared" si="6"/>
        <v>3.9804825156769512</v>
      </c>
      <c r="W33" s="83">
        <f t="shared" si="6"/>
        <v>3.9037713921735322</v>
      </c>
      <c r="X33" s="88">
        <f t="shared" si="6"/>
        <v>3.867092023205851</v>
      </c>
      <c r="Y33" s="88">
        <f t="shared" si="6"/>
        <v>3.7921655762100328</v>
      </c>
      <c r="Z33" s="89">
        <f t="shared" si="6"/>
        <v>3.8796274591524122</v>
      </c>
    </row>
    <row r="34" spans="4:26" ht="18" customHeight="1" x14ac:dyDescent="0.25">
      <c r="I34" s="264"/>
      <c r="J34" s="70">
        <v>90</v>
      </c>
      <c r="K34" s="110">
        <f t="shared" si="6"/>
        <v>3.8555014210312457</v>
      </c>
      <c r="L34" s="111">
        <f t="shared" si="6"/>
        <v>3.8184269044154719</v>
      </c>
      <c r="M34" s="111">
        <f t="shared" si="6"/>
        <v>3.7427939366442455</v>
      </c>
      <c r="N34" s="112">
        <f t="shared" si="6"/>
        <v>3.8315840569556876</v>
      </c>
      <c r="O34" s="110">
        <f t="shared" si="6"/>
        <v>3.7382645631959148</v>
      </c>
      <c r="P34" s="111">
        <f t="shared" si="6"/>
        <v>3.7023283009087438</v>
      </c>
      <c r="Q34" s="111">
        <f t="shared" si="6"/>
        <v>3.6290161097883868</v>
      </c>
      <c r="R34" s="112">
        <f t="shared" si="6"/>
        <v>3.715749242456837</v>
      </c>
      <c r="S34" s="110">
        <f t="shared" si="6"/>
        <v>3.6341003153342109</v>
      </c>
      <c r="T34" s="111">
        <f t="shared" si="6"/>
        <v>3.5991742702078819</v>
      </c>
      <c r="U34" s="111">
        <f t="shared" si="6"/>
        <v>3.5279219332423821</v>
      </c>
      <c r="V34" s="112">
        <f t="shared" si="6"/>
        <v>3.6127620640319225</v>
      </c>
      <c r="W34" s="110">
        <f t="shared" si="6"/>
        <v>3.5406538402263505</v>
      </c>
      <c r="X34" s="111">
        <f t="shared" si="6"/>
        <v>3.5066332245528167</v>
      </c>
      <c r="Y34" s="111">
        <f t="shared" si="6"/>
        <v>3.4372271767700759</v>
      </c>
      <c r="Z34" s="112">
        <f t="shared" si="6"/>
        <v>3.520319571472228</v>
      </c>
    </row>
    <row r="35" spans="4:26" ht="18" customHeight="1" x14ac:dyDescent="0.25">
      <c r="I35" s="78" t="s">
        <v>50</v>
      </c>
    </row>
    <row r="36" spans="4:26" ht="18" customHeight="1" x14ac:dyDescent="0.25">
      <c r="I36" s="263" t="s">
        <v>45</v>
      </c>
      <c r="J36" s="80">
        <v>45</v>
      </c>
      <c r="K36" s="83">
        <f>(((($D$10*$D$12)+($D$11*$D$13))*10000/($D$21*$D$14*((K$29*(((VLOOKUP(K$30,$F$16:$G$26,2))*($J18/COS(K$30*PI()/180))))+((K$29-0.022)*5))+(($D$8+$D$9)/COS(K$30*PI()/180)))))^(1/3))/100</f>
        <v>5.7051836522655881</v>
      </c>
      <c r="L36" s="88">
        <f t="shared" ref="L36:Z36" si="7">(((($D$10*$D$12)+($D$11*$D$13))*10000/($D$21*$D$14*((L$29*(((VLOOKUP(L$30,$F$16:$G$26,2))*($J18/COS(L$30*PI()/180))))+((L$29-0.022)*5))+(($D$8+$D$9)/COS(L$30*PI()/180)))))^(1/3))/100</f>
        <v>5.6525403921087829</v>
      </c>
      <c r="M36" s="88">
        <f t="shared" si="7"/>
        <v>5.5448941363464348</v>
      </c>
      <c r="N36" s="90">
        <f t="shared" si="7"/>
        <v>5.62280531748765</v>
      </c>
      <c r="O36" s="83">
        <f t="shared" si="7"/>
        <v>5.5535153096652046</v>
      </c>
      <c r="P36" s="88">
        <f t="shared" si="7"/>
        <v>5.5023647224620484</v>
      </c>
      <c r="Q36" s="88">
        <f t="shared" si="7"/>
        <v>5.3977601019824242</v>
      </c>
      <c r="R36" s="89">
        <f t="shared" si="7"/>
        <v>5.4777815093499207</v>
      </c>
      <c r="S36" s="91">
        <f t="shared" si="7"/>
        <v>5.4167882311727364</v>
      </c>
      <c r="T36" s="88">
        <f t="shared" si="7"/>
        <v>5.3669747671905945</v>
      </c>
      <c r="U36" s="88">
        <f t="shared" si="7"/>
        <v>5.2650957536168326</v>
      </c>
      <c r="V36" s="90">
        <f t="shared" si="7"/>
        <v>5.3466489883144144</v>
      </c>
      <c r="W36" s="83">
        <f t="shared" si="7"/>
        <v>5.2926031745064437</v>
      </c>
      <c r="X36" s="88">
        <f t="shared" si="7"/>
        <v>5.2439975332733537</v>
      </c>
      <c r="Y36" s="88">
        <f t="shared" si="7"/>
        <v>5.1445812921045624</v>
      </c>
      <c r="Z36" s="89">
        <f t="shared" si="7"/>
        <v>5.2272347429898351</v>
      </c>
    </row>
    <row r="37" spans="4:26" ht="18" customHeight="1" x14ac:dyDescent="0.3">
      <c r="D37" s="2"/>
      <c r="I37" s="264"/>
      <c r="J37" s="69">
        <v>55</v>
      </c>
      <c r="K37" s="83">
        <f t="shared" ref="K37:Z39" si="8">(((($D$10*$D$12)+($D$11*$D$13))*10000/($D$21*$D$14*((K$29*(((VLOOKUP(K$30,$F$16:$G$26,2))*($J19/COS(K$30*PI()/180))))+((K$29-0.022)*5))+(($D$8+$D$9)/COS(K$30*PI()/180)))))^(1/3))/100</f>
        <v>5.4230312919885684</v>
      </c>
      <c r="L37" s="88">
        <f t="shared" si="8"/>
        <v>5.3722207112459186</v>
      </c>
      <c r="M37" s="88">
        <f t="shared" si="8"/>
        <v>5.268411245540058</v>
      </c>
      <c r="N37" s="90">
        <f t="shared" si="8"/>
        <v>5.3522489655725956</v>
      </c>
      <c r="O37" s="83">
        <f t="shared" si="8"/>
        <v>5.2752466755526362</v>
      </c>
      <c r="P37" s="88">
        <f t="shared" si="8"/>
        <v>5.2258872036097284</v>
      </c>
      <c r="Q37" s="88">
        <f t="shared" si="8"/>
        <v>5.1250347701288481</v>
      </c>
      <c r="R37" s="89">
        <f t="shared" si="8"/>
        <v>5.2101315044296586</v>
      </c>
      <c r="S37" s="91">
        <f t="shared" si="8"/>
        <v>5.1423586030811066</v>
      </c>
      <c r="T37" s="88">
        <f t="shared" si="8"/>
        <v>5.0942977759530992</v>
      </c>
      <c r="U37" s="88">
        <f t="shared" si="8"/>
        <v>4.9960923857752473</v>
      </c>
      <c r="V37" s="90">
        <f t="shared" si="8"/>
        <v>5.0819990710749439</v>
      </c>
      <c r="W37" s="83">
        <f t="shared" si="8"/>
        <v>5.0219233726374544</v>
      </c>
      <c r="X37" s="88">
        <f t="shared" si="8"/>
        <v>4.9750346820465925</v>
      </c>
      <c r="Y37" s="88">
        <f t="shared" si="8"/>
        <v>4.8792190149178278</v>
      </c>
      <c r="Z37" s="89">
        <f t="shared" si="8"/>
        <v>4.9656082685603229</v>
      </c>
    </row>
    <row r="38" spans="4:26" ht="18" customHeight="1" x14ac:dyDescent="0.25">
      <c r="I38" s="264"/>
      <c r="J38" s="69">
        <v>65</v>
      </c>
      <c r="K38" s="83">
        <f t="shared" si="8"/>
        <v>5.1895284435085571</v>
      </c>
      <c r="L38" s="88">
        <f t="shared" si="8"/>
        <v>5.1403507734603195</v>
      </c>
      <c r="M38" s="88">
        <f t="shared" si="8"/>
        <v>5.0399423709064397</v>
      </c>
      <c r="N38" s="90">
        <f t="shared" si="8"/>
        <v>5.1272380549588918</v>
      </c>
      <c r="O38" s="83">
        <f t="shared" si="8"/>
        <v>5.0455082492227312</v>
      </c>
      <c r="P38" s="88">
        <f t="shared" si="8"/>
        <v>4.997745051505385</v>
      </c>
      <c r="Q38" s="88">
        <f t="shared" si="8"/>
        <v>4.9002188405460858</v>
      </c>
      <c r="R38" s="89">
        <f t="shared" si="8"/>
        <v>4.9881458343810099</v>
      </c>
      <c r="S38" s="91">
        <f t="shared" si="8"/>
        <v>4.9162515788847996</v>
      </c>
      <c r="T38" s="88">
        <f t="shared" si="8"/>
        <v>4.8697531520195598</v>
      </c>
      <c r="U38" s="88">
        <f t="shared" si="8"/>
        <v>4.7748046332102367</v>
      </c>
      <c r="V38" s="90">
        <f t="shared" si="8"/>
        <v>4.8630153243761782</v>
      </c>
      <c r="W38" s="83">
        <f t="shared" si="8"/>
        <v>4.7992983537896814</v>
      </c>
      <c r="X38" s="88">
        <f t="shared" si="8"/>
        <v>4.7539406694222972</v>
      </c>
      <c r="Y38" s="88">
        <f t="shared" si="8"/>
        <v>4.6613174815360283</v>
      </c>
      <c r="Z38" s="89">
        <f t="shared" si="8"/>
        <v>4.749565092446546</v>
      </c>
    </row>
    <row r="39" spans="4:26" ht="18" customHeight="1" x14ac:dyDescent="0.25">
      <c r="I39" s="264"/>
      <c r="J39" s="70">
        <v>90</v>
      </c>
      <c r="K39" s="110">
        <f t="shared" si="8"/>
        <v>4.7437621467773328</v>
      </c>
      <c r="L39" s="111">
        <f t="shared" si="8"/>
        <v>4.6979604619394992</v>
      </c>
      <c r="M39" s="111">
        <f t="shared" si="8"/>
        <v>4.6045459254292123</v>
      </c>
      <c r="N39" s="113">
        <f t="shared" si="8"/>
        <v>4.6951973587180955</v>
      </c>
      <c r="O39" s="110">
        <f t="shared" si="8"/>
        <v>4.6081486394947371</v>
      </c>
      <c r="P39" s="111">
        <f t="shared" si="8"/>
        <v>4.5636840082390302</v>
      </c>
      <c r="Q39" s="111">
        <f t="shared" si="8"/>
        <v>4.4729931608586631</v>
      </c>
      <c r="R39" s="112">
        <f t="shared" si="8"/>
        <v>4.5632817240919081</v>
      </c>
      <c r="S39" s="114">
        <f t="shared" si="8"/>
        <v>4.4868226959972342</v>
      </c>
      <c r="T39" s="111">
        <f t="shared" si="8"/>
        <v>4.4435515651850181</v>
      </c>
      <c r="U39" s="111">
        <f t="shared" si="8"/>
        <v>4.3552922930197804</v>
      </c>
      <c r="V39" s="113">
        <f t="shared" si="8"/>
        <v>4.4450433716605895</v>
      </c>
      <c r="W39" s="110">
        <f t="shared" si="8"/>
        <v>4.3773422779907589</v>
      </c>
      <c r="X39" s="111">
        <f t="shared" si="8"/>
        <v>4.3351460566055717</v>
      </c>
      <c r="Y39" s="111">
        <f t="shared" si="8"/>
        <v>4.2490769912182769</v>
      </c>
      <c r="Z39" s="112">
        <f t="shared" si="8"/>
        <v>4.3381790362029991</v>
      </c>
    </row>
    <row r="40" spans="4:26" ht="18" customHeight="1" x14ac:dyDescent="0.25"/>
    <row r="41" spans="4:26" ht="18" customHeight="1" x14ac:dyDescent="0.25"/>
    <row r="42" spans="4:26" ht="18" customHeight="1" x14ac:dyDescent="0.25"/>
    <row r="43" spans="4:26" ht="18" customHeight="1" x14ac:dyDescent="0.25"/>
    <row r="44" spans="4:26" ht="18" customHeight="1" x14ac:dyDescent="0.25"/>
    <row r="45" spans="4:26" ht="18" customHeight="1" x14ac:dyDescent="0.25"/>
    <row r="46" spans="4:26" ht="18" customHeight="1" x14ac:dyDescent="0.25"/>
    <row r="47" spans="4:26" ht="18" customHeight="1" x14ac:dyDescent="0.25"/>
    <row r="48" spans="4:26" ht="18" customHeight="1" x14ac:dyDescent="0.25"/>
    <row r="49" ht="18" customHeight="1" x14ac:dyDescent="0.25"/>
    <row r="50" ht="20.100000000000001" customHeight="1" x14ac:dyDescent="0.25"/>
  </sheetData>
  <mergeCells count="11">
    <mergeCell ref="I30:J30"/>
    <mergeCell ref="I31:I34"/>
    <mergeCell ref="I36:I39"/>
    <mergeCell ref="B2:D2"/>
    <mergeCell ref="F28:H28"/>
    <mergeCell ref="F29:H29"/>
    <mergeCell ref="I16:J16"/>
    <mergeCell ref="I17:J17"/>
    <mergeCell ref="I18:I21"/>
    <mergeCell ref="I23:I26"/>
    <mergeCell ref="I29:J29"/>
  </mergeCells>
  <pageMargins left="0.39370078740157483" right="0" top="0.39370078740157483" bottom="0.98425196850393704" header="0.51181102362204722" footer="0.51181102362204722"/>
  <pageSetup paperSize="9" scale="5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50"/>
  <sheetViews>
    <sheetView workbookViewId="0">
      <selection activeCell="D22" sqref="D22"/>
    </sheetView>
  </sheetViews>
  <sheetFormatPr baseColWidth="10" defaultRowHeight="12.6" x14ac:dyDescent="0.25"/>
  <cols>
    <col min="1" max="1" width="1.6640625" customWidth="1"/>
    <col min="2" max="2" width="39.109375" bestFit="1" customWidth="1"/>
    <col min="3" max="4" width="15.77734375" customWidth="1"/>
    <col min="5" max="5" width="1.6640625" customWidth="1"/>
    <col min="6" max="7" width="10.77734375" hidden="1" customWidth="1"/>
    <col min="8" max="8" width="15.33203125" customWidth="1"/>
  </cols>
  <sheetData>
    <row r="1" spans="2:8" ht="13.2" x14ac:dyDescent="0.25">
      <c r="B1" s="49" t="s">
        <v>41</v>
      </c>
    </row>
    <row r="2" spans="2:8" ht="20.100000000000001" customHeight="1" x14ac:dyDescent="0.25">
      <c r="B2" s="241" t="s">
        <v>35</v>
      </c>
      <c r="C2" s="242"/>
      <c r="D2" s="242"/>
      <c r="E2" s="37"/>
      <c r="F2" s="37"/>
      <c r="G2" s="37"/>
      <c r="H2" s="37"/>
    </row>
    <row r="3" spans="2:8" ht="18" customHeight="1" x14ac:dyDescent="0.25">
      <c r="B3" s="44" t="s">
        <v>39</v>
      </c>
      <c r="C3" s="50"/>
      <c r="D3" s="50"/>
      <c r="E3" s="37"/>
      <c r="F3" s="37"/>
      <c r="G3" s="37"/>
      <c r="H3" s="37"/>
    </row>
    <row r="4" spans="2:8" ht="18" customHeight="1" x14ac:dyDescent="0.25">
      <c r="B4" s="52" t="s">
        <v>37</v>
      </c>
    </row>
    <row r="5" spans="2:8" ht="3" customHeight="1" x14ac:dyDescent="0.25"/>
    <row r="6" spans="2:8" ht="20.100000000000001" hidden="1" customHeight="1" x14ac:dyDescent="0.3">
      <c r="B6" s="3" t="s">
        <v>6</v>
      </c>
    </row>
    <row r="7" spans="2:8" ht="20.100000000000001" hidden="1" customHeight="1" x14ac:dyDescent="0.25">
      <c r="B7" s="15" t="s">
        <v>2</v>
      </c>
      <c r="C7" s="9" t="s">
        <v>3</v>
      </c>
    </row>
    <row r="8" spans="2:8" ht="20.100000000000001" hidden="1" customHeight="1" x14ac:dyDescent="0.25">
      <c r="B8" s="6" t="s">
        <v>28</v>
      </c>
      <c r="C8" s="10" t="s">
        <v>30</v>
      </c>
      <c r="D8" s="32">
        <v>2.5819999999999999</v>
      </c>
      <c r="F8" s="24"/>
      <c r="G8" s="25"/>
      <c r="H8" s="25"/>
    </row>
    <row r="9" spans="2:8" ht="20.100000000000001" hidden="1" customHeight="1" x14ac:dyDescent="0.25">
      <c r="B9" s="6" t="s">
        <v>23</v>
      </c>
      <c r="C9" s="10" t="s">
        <v>30</v>
      </c>
      <c r="D9" s="32">
        <v>5.3689999999999998</v>
      </c>
      <c r="F9" s="26"/>
      <c r="G9" s="24"/>
      <c r="H9" s="24"/>
    </row>
    <row r="10" spans="2:8" ht="20.100000000000001" hidden="1" customHeight="1" x14ac:dyDescent="0.25">
      <c r="B10" s="6" t="s">
        <v>29</v>
      </c>
      <c r="C10" s="10" t="s">
        <v>12</v>
      </c>
      <c r="D10" s="51">
        <v>136.66200000000001</v>
      </c>
    </row>
    <row r="11" spans="2:8" ht="20.100000000000001" hidden="1" customHeight="1" x14ac:dyDescent="0.25">
      <c r="B11" s="6" t="s">
        <v>11</v>
      </c>
      <c r="C11" s="10" t="s">
        <v>12</v>
      </c>
      <c r="D11" s="51">
        <v>38.076999999999998</v>
      </c>
      <c r="F11" s="24"/>
      <c r="G11" s="24"/>
    </row>
    <row r="12" spans="2:8" ht="20.100000000000001" hidden="1" customHeight="1" x14ac:dyDescent="0.25">
      <c r="B12" s="8" t="s">
        <v>7</v>
      </c>
      <c r="C12" s="7" t="s">
        <v>18</v>
      </c>
      <c r="D12" s="34">
        <v>7000</v>
      </c>
    </row>
    <row r="13" spans="2:8" ht="20.100000000000001" hidden="1" customHeight="1" x14ac:dyDescent="0.25">
      <c r="B13" s="8" t="s">
        <v>8</v>
      </c>
      <c r="C13" s="7" t="s">
        <v>18</v>
      </c>
      <c r="D13" s="34">
        <v>21000</v>
      </c>
    </row>
    <row r="14" spans="2:8" ht="20.100000000000001" hidden="1" customHeight="1" x14ac:dyDescent="0.25">
      <c r="B14" s="8" t="s">
        <v>14</v>
      </c>
      <c r="C14" s="4" t="s">
        <v>13</v>
      </c>
      <c r="D14" s="34">
        <v>1.2999999999999999E-2</v>
      </c>
    </row>
    <row r="15" spans="2:8" ht="18" hidden="1" customHeight="1" x14ac:dyDescent="0.25">
      <c r="F15" s="53" t="s">
        <v>9</v>
      </c>
      <c r="G15" s="53" t="s">
        <v>10</v>
      </c>
    </row>
    <row r="16" spans="2:8" ht="18" customHeight="1" x14ac:dyDescent="0.3">
      <c r="B16" s="3" t="s">
        <v>0</v>
      </c>
      <c r="F16" s="61">
        <v>5</v>
      </c>
      <c r="G16" s="62">
        <v>0.8</v>
      </c>
    </row>
    <row r="17" spans="2:7" ht="18" customHeight="1" x14ac:dyDescent="0.25">
      <c r="B17" s="11" t="s">
        <v>2</v>
      </c>
      <c r="C17" s="17" t="s">
        <v>3</v>
      </c>
      <c r="D17" s="96" t="s">
        <v>31</v>
      </c>
      <c r="F17" s="54">
        <v>10</v>
      </c>
      <c r="G17" s="55">
        <v>0.8</v>
      </c>
    </row>
    <row r="18" spans="2:7" ht="18" customHeight="1" x14ac:dyDescent="0.25">
      <c r="B18" s="6" t="s">
        <v>24</v>
      </c>
      <c r="C18" s="7" t="s">
        <v>4</v>
      </c>
      <c r="D18" s="97">
        <v>35</v>
      </c>
      <c r="F18" s="54">
        <v>15</v>
      </c>
      <c r="G18" s="55">
        <v>0.8</v>
      </c>
    </row>
    <row r="19" spans="2:7" ht="18" customHeight="1" x14ac:dyDescent="0.25">
      <c r="B19" s="6" t="s">
        <v>25</v>
      </c>
      <c r="C19" s="7" t="s">
        <v>4</v>
      </c>
      <c r="D19" s="98">
        <v>45</v>
      </c>
      <c r="F19" s="54">
        <v>20</v>
      </c>
      <c r="G19" s="55">
        <v>0.8</v>
      </c>
    </row>
    <row r="20" spans="2:7" ht="18" customHeight="1" x14ac:dyDescent="0.25">
      <c r="B20" s="6" t="s">
        <v>1</v>
      </c>
      <c r="C20" s="7" t="s">
        <v>5</v>
      </c>
      <c r="D20" s="99">
        <v>0.8</v>
      </c>
      <c r="F20" s="54">
        <v>25</v>
      </c>
      <c r="G20" s="55">
        <v>0.8</v>
      </c>
    </row>
    <row r="21" spans="2:7" ht="18" hidden="1" customHeight="1" x14ac:dyDescent="0.25">
      <c r="B21" s="6" t="s">
        <v>22</v>
      </c>
      <c r="C21" s="6"/>
      <c r="D21" s="100">
        <v>200</v>
      </c>
      <c r="F21" s="54">
        <v>30</v>
      </c>
      <c r="G21" s="55">
        <f>0.8*(60-$F21)/30</f>
        <v>0.8</v>
      </c>
    </row>
    <row r="22" spans="2:7" ht="18" customHeight="1" x14ac:dyDescent="0.25">
      <c r="B22" s="16" t="s">
        <v>26</v>
      </c>
      <c r="C22" s="87"/>
      <c r="D22" s="98">
        <v>10</v>
      </c>
      <c r="F22" s="54">
        <v>31</v>
      </c>
      <c r="G22" s="55">
        <f t="shared" ref="G22:G26" si="0">0.8*(60-$F22)/30</f>
        <v>0.77333333333333343</v>
      </c>
    </row>
    <row r="23" spans="2:7" ht="18" customHeight="1" x14ac:dyDescent="0.25">
      <c r="F23" s="56">
        <v>32</v>
      </c>
      <c r="G23" s="55">
        <f t="shared" si="0"/>
        <v>0.7466666666666667</v>
      </c>
    </row>
    <row r="24" spans="2:7" ht="18" customHeight="1" x14ac:dyDescent="0.3">
      <c r="B24" s="3" t="s">
        <v>19</v>
      </c>
      <c r="C24" s="43" t="s">
        <v>16</v>
      </c>
      <c r="D24" s="45" t="s">
        <v>17</v>
      </c>
      <c r="F24" s="56">
        <v>33</v>
      </c>
      <c r="G24" s="55">
        <f t="shared" si="0"/>
        <v>0.72000000000000008</v>
      </c>
    </row>
    <row r="25" spans="2:7" ht="18" hidden="1" customHeight="1" x14ac:dyDescent="0.3">
      <c r="B25" s="13" t="s">
        <v>15</v>
      </c>
      <c r="C25" s="60">
        <f>($D$20*($G$27*$D$19))+(($D$20-0.022)*($D$18/COS($D$22*PI()/180)))+($D$8/COS($D$22*PI()/180))</f>
        <v>59.07189815353783</v>
      </c>
      <c r="D25" s="60">
        <f>($D$20*($G$27*$D$19))+(($D$20-0.022)*($D$18/COS($D$22*PI()/180)))+(($D$8+$D$9)/COS(K$17*PI()/180))</f>
        <v>64.401066641648839</v>
      </c>
      <c r="F25" s="56">
        <v>34</v>
      </c>
      <c r="G25" s="55">
        <f t="shared" si="0"/>
        <v>0.69333333333333336</v>
      </c>
    </row>
    <row r="26" spans="2:7" ht="18" customHeight="1" x14ac:dyDescent="0.3">
      <c r="B26" s="13" t="s">
        <v>51</v>
      </c>
      <c r="C26" s="115">
        <f>((D10*D12*10000/(D21*D14*C25))^(1/3))/100</f>
        <v>3.9639714024234611</v>
      </c>
      <c r="D26" s="115">
        <f>((((D10*D12)+(D11*D13))*10000/(D21*D14*D25))^(1/3))/100</f>
        <v>4.7159956089131851</v>
      </c>
      <c r="F26" s="63">
        <v>35</v>
      </c>
      <c r="G26" s="64">
        <f t="shared" si="0"/>
        <v>0.66666666666666663</v>
      </c>
    </row>
    <row r="27" spans="2:7" ht="18" customHeight="1" x14ac:dyDescent="0.25">
      <c r="F27" s="53" t="s">
        <v>42</v>
      </c>
      <c r="G27" s="65">
        <f>VLOOKUP(D22,F16:G26,2)</f>
        <v>0.8</v>
      </c>
    </row>
    <row r="28" spans="2:7" ht="18" customHeight="1" x14ac:dyDescent="0.25"/>
    <row r="29" spans="2:7" ht="20.100000000000001" customHeight="1" x14ac:dyDescent="0.25"/>
    <row r="30" spans="2:7" ht="20.100000000000001" customHeight="1" x14ac:dyDescent="0.25"/>
    <row r="31" spans="2:7" ht="20.100000000000001" customHeight="1" x14ac:dyDescent="0.25"/>
    <row r="32" spans="2:7" ht="20.100000000000001" customHeight="1" x14ac:dyDescent="0.25"/>
    <row r="33" spans="4:4" ht="20.100000000000001" customHeight="1" x14ac:dyDescent="0.25"/>
    <row r="34" spans="4:4" ht="20.100000000000001" customHeight="1" x14ac:dyDescent="0.25"/>
    <row r="35" spans="4:4" ht="20.100000000000001" customHeight="1" x14ac:dyDescent="0.25"/>
    <row r="36" spans="4:4" ht="20.100000000000001" customHeight="1" x14ac:dyDescent="0.25"/>
    <row r="37" spans="4:4" ht="20.100000000000001" customHeight="1" x14ac:dyDescent="0.3">
      <c r="D37" s="2"/>
    </row>
    <row r="38" spans="4:4" ht="20.100000000000001" customHeight="1" x14ac:dyDescent="0.25"/>
    <row r="39" spans="4:4" ht="20.100000000000001" customHeight="1" x14ac:dyDescent="0.25"/>
    <row r="40" spans="4:4" ht="20.100000000000001" customHeight="1" x14ac:dyDescent="0.25"/>
    <row r="41" spans="4:4" ht="20.100000000000001" customHeight="1" x14ac:dyDescent="0.25"/>
    <row r="42" spans="4:4" ht="20.100000000000001" customHeight="1" x14ac:dyDescent="0.25"/>
    <row r="43" spans="4:4" ht="20.100000000000001" customHeight="1" x14ac:dyDescent="0.25"/>
    <row r="44" spans="4:4" ht="20.100000000000001" customHeight="1" x14ac:dyDescent="0.25"/>
    <row r="45" spans="4:4" ht="20.100000000000001" customHeight="1" x14ac:dyDescent="0.25"/>
    <row r="46" spans="4:4" ht="20.100000000000001" customHeight="1" x14ac:dyDescent="0.25"/>
    <row r="47" spans="4:4" ht="20.100000000000001" customHeight="1" x14ac:dyDescent="0.25"/>
    <row r="48" spans="4:4" ht="20.100000000000001" customHeight="1" x14ac:dyDescent="0.25"/>
    <row r="49" ht="20.100000000000001" customHeight="1" x14ac:dyDescent="0.25"/>
    <row r="50" ht="20.100000000000001" customHeight="1" x14ac:dyDescent="0.25"/>
  </sheetData>
  <mergeCells count="1">
    <mergeCell ref="B2:D2"/>
  </mergeCells>
  <pageMargins left="0" right="0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50"/>
  <sheetViews>
    <sheetView workbookViewId="0">
      <selection activeCell="D22" sqref="D22"/>
    </sheetView>
  </sheetViews>
  <sheetFormatPr baseColWidth="10" defaultRowHeight="12.6" x14ac:dyDescent="0.25"/>
  <cols>
    <col min="1" max="1" width="1.6640625" customWidth="1"/>
    <col min="2" max="2" width="39.109375" bestFit="1" customWidth="1"/>
    <col min="3" max="4" width="15.77734375" customWidth="1"/>
    <col min="5" max="5" width="1.6640625" customWidth="1"/>
    <col min="6" max="7" width="10.77734375" hidden="1" customWidth="1"/>
    <col min="8" max="8" width="15.33203125" customWidth="1"/>
  </cols>
  <sheetData>
    <row r="1" spans="2:8" ht="13.2" x14ac:dyDescent="0.25">
      <c r="B1" s="49" t="s">
        <v>41</v>
      </c>
    </row>
    <row r="2" spans="2:8" ht="20.100000000000001" customHeight="1" x14ac:dyDescent="0.25">
      <c r="B2" s="241" t="s">
        <v>32</v>
      </c>
      <c r="C2" s="242"/>
      <c r="D2" s="242"/>
      <c r="E2" s="37"/>
      <c r="F2" s="37"/>
      <c r="G2" s="37"/>
      <c r="H2" s="37"/>
    </row>
    <row r="3" spans="2:8" x14ac:dyDescent="0.25">
      <c r="B3" s="44" t="s">
        <v>38</v>
      </c>
      <c r="C3" s="50"/>
      <c r="D3" s="50"/>
      <c r="E3" s="37"/>
      <c r="F3" s="37"/>
      <c r="G3" s="37"/>
      <c r="H3" s="37"/>
    </row>
    <row r="4" spans="2:8" x14ac:dyDescent="0.25">
      <c r="B4" s="52" t="s">
        <v>37</v>
      </c>
      <c r="C4" s="50"/>
      <c r="D4" s="50"/>
      <c r="E4" s="37"/>
      <c r="F4" s="37"/>
      <c r="G4" s="37"/>
      <c r="H4" s="37"/>
    </row>
    <row r="5" spans="2:8" ht="3" customHeight="1" x14ac:dyDescent="0.25"/>
    <row r="6" spans="2:8" ht="18" hidden="1" customHeight="1" x14ac:dyDescent="0.3">
      <c r="B6" s="3" t="s">
        <v>6</v>
      </c>
    </row>
    <row r="7" spans="2:8" ht="18" hidden="1" customHeight="1" x14ac:dyDescent="0.25">
      <c r="B7" s="15" t="s">
        <v>2</v>
      </c>
      <c r="C7" s="9" t="s">
        <v>3</v>
      </c>
    </row>
    <row r="8" spans="2:8" ht="18" hidden="1" customHeight="1" x14ac:dyDescent="0.25">
      <c r="B8" s="6" t="s">
        <v>28</v>
      </c>
      <c r="C8" s="10" t="s">
        <v>30</v>
      </c>
      <c r="D8" s="32">
        <v>2.4369999999999998</v>
      </c>
      <c r="F8" s="24"/>
      <c r="G8" s="25"/>
      <c r="H8" s="25"/>
    </row>
    <row r="9" spans="2:8" ht="18" hidden="1" customHeight="1" x14ac:dyDescent="0.25">
      <c r="B9" s="6" t="s">
        <v>23</v>
      </c>
      <c r="C9" s="10" t="s">
        <v>30</v>
      </c>
      <c r="D9" s="32">
        <v>5.3689999999999998</v>
      </c>
      <c r="F9" s="26"/>
      <c r="G9" s="24"/>
      <c r="H9" s="24"/>
    </row>
    <row r="10" spans="2:8" ht="18" hidden="1" customHeight="1" x14ac:dyDescent="0.25">
      <c r="B10" s="6" t="s">
        <v>29</v>
      </c>
      <c r="C10" s="10" t="s">
        <v>12</v>
      </c>
      <c r="D10" s="51">
        <v>131.41499999999999</v>
      </c>
    </row>
    <row r="11" spans="2:8" ht="18" hidden="1" customHeight="1" x14ac:dyDescent="0.25">
      <c r="B11" s="6" t="s">
        <v>11</v>
      </c>
      <c r="C11" s="10" t="s">
        <v>12</v>
      </c>
      <c r="D11" s="51">
        <v>38.076999999999998</v>
      </c>
      <c r="F11" s="24"/>
      <c r="G11" s="24"/>
    </row>
    <row r="12" spans="2:8" ht="18" hidden="1" customHeight="1" x14ac:dyDescent="0.25">
      <c r="B12" s="8" t="s">
        <v>7</v>
      </c>
      <c r="C12" s="7" t="s">
        <v>18</v>
      </c>
      <c r="D12" s="34">
        <v>7000</v>
      </c>
    </row>
    <row r="13" spans="2:8" ht="18" hidden="1" customHeight="1" x14ac:dyDescent="0.25">
      <c r="B13" s="8" t="s">
        <v>8</v>
      </c>
      <c r="C13" s="7" t="s">
        <v>18</v>
      </c>
      <c r="D13" s="34">
        <v>21000</v>
      </c>
    </row>
    <row r="14" spans="2:8" ht="18" hidden="1" customHeight="1" x14ac:dyDescent="0.25">
      <c r="B14" s="8" t="s">
        <v>14</v>
      </c>
      <c r="C14" s="4" t="s">
        <v>13</v>
      </c>
      <c r="D14" s="34">
        <v>1.2999999999999999E-2</v>
      </c>
    </row>
    <row r="15" spans="2:8" ht="18" hidden="1" customHeight="1" x14ac:dyDescent="0.25">
      <c r="F15" s="53" t="s">
        <v>9</v>
      </c>
      <c r="G15" s="53" t="s">
        <v>10</v>
      </c>
    </row>
    <row r="16" spans="2:8" ht="18" customHeight="1" x14ac:dyDescent="0.3">
      <c r="B16" s="3" t="s">
        <v>0</v>
      </c>
      <c r="F16" s="61">
        <v>5</v>
      </c>
      <c r="G16" s="62">
        <v>0.8</v>
      </c>
    </row>
    <row r="17" spans="2:7" ht="18" customHeight="1" x14ac:dyDescent="0.25">
      <c r="B17" s="11" t="s">
        <v>2</v>
      </c>
      <c r="C17" s="17" t="s">
        <v>3</v>
      </c>
      <c r="D17" s="103" t="s">
        <v>31</v>
      </c>
      <c r="F17" s="54">
        <v>10</v>
      </c>
      <c r="G17" s="55">
        <v>0.8</v>
      </c>
    </row>
    <row r="18" spans="2:7" ht="18" customHeight="1" x14ac:dyDescent="0.25">
      <c r="B18" s="6" t="s">
        <v>24</v>
      </c>
      <c r="C18" s="7" t="s">
        <v>4</v>
      </c>
      <c r="D18" s="97">
        <v>35</v>
      </c>
      <c r="F18" s="54">
        <v>15</v>
      </c>
      <c r="G18" s="55">
        <v>0.8</v>
      </c>
    </row>
    <row r="19" spans="2:7" ht="18" customHeight="1" x14ac:dyDescent="0.25">
      <c r="B19" s="6" t="s">
        <v>25</v>
      </c>
      <c r="C19" s="7" t="s">
        <v>4</v>
      </c>
      <c r="D19" s="98">
        <v>45</v>
      </c>
      <c r="F19" s="54">
        <v>20</v>
      </c>
      <c r="G19" s="55">
        <v>0.8</v>
      </c>
    </row>
    <row r="20" spans="2:7" ht="18" customHeight="1" x14ac:dyDescent="0.25">
      <c r="B20" s="6" t="s">
        <v>1</v>
      </c>
      <c r="C20" s="7" t="s">
        <v>5</v>
      </c>
      <c r="D20" s="99">
        <v>0.8</v>
      </c>
      <c r="F20" s="54">
        <v>25</v>
      </c>
      <c r="G20" s="55">
        <v>0.8</v>
      </c>
    </row>
    <row r="21" spans="2:7" ht="18" hidden="1" customHeight="1" x14ac:dyDescent="0.25">
      <c r="B21" s="38" t="s">
        <v>22</v>
      </c>
      <c r="C21" s="6"/>
      <c r="D21" s="100">
        <v>200</v>
      </c>
      <c r="F21" s="54">
        <v>30</v>
      </c>
      <c r="G21" s="55">
        <f>0.8*(60-$F21)/30</f>
        <v>0.8</v>
      </c>
    </row>
    <row r="22" spans="2:7" ht="18" customHeight="1" x14ac:dyDescent="0.25">
      <c r="B22" s="16" t="s">
        <v>52</v>
      </c>
      <c r="C22" s="87"/>
      <c r="D22" s="98">
        <v>10</v>
      </c>
      <c r="F22" s="54">
        <v>31</v>
      </c>
      <c r="G22" s="55">
        <f t="shared" ref="G22:G26" si="0">0.8*(60-$F22)/30</f>
        <v>0.77333333333333343</v>
      </c>
    </row>
    <row r="23" spans="2:7" ht="18" customHeight="1" x14ac:dyDescent="0.25">
      <c r="F23" s="56">
        <v>32</v>
      </c>
      <c r="G23" s="55">
        <f t="shared" si="0"/>
        <v>0.7466666666666667</v>
      </c>
    </row>
    <row r="24" spans="2:7" ht="18" customHeight="1" x14ac:dyDescent="0.3">
      <c r="B24" s="3" t="s">
        <v>19</v>
      </c>
      <c r="C24" s="43" t="s">
        <v>16</v>
      </c>
      <c r="D24" s="67" t="s">
        <v>17</v>
      </c>
      <c r="F24" s="56">
        <v>33</v>
      </c>
      <c r="G24" s="55">
        <f t="shared" si="0"/>
        <v>0.72000000000000008</v>
      </c>
    </row>
    <row r="25" spans="2:7" ht="18" hidden="1" customHeight="1" x14ac:dyDescent="0.3">
      <c r="B25" s="13" t="s">
        <v>15</v>
      </c>
      <c r="C25" s="60">
        <f>($D$20*($G$27*$D$19))+(($D$20-0.022)*($D$18/COS($D$22*PI()/180)))+($D$8/COS($D$22*PI()/180))</f>
        <v>58.924661294814399</v>
      </c>
      <c r="D25" s="60">
        <f>($D$20*($G$27*$D$19))+(($D$20-0.022)*($D$18/COS($D$22*PI()/180)))+(($D$8+$D$9)/COS(K$17*PI()/180))</f>
        <v>64.256066641648843</v>
      </c>
      <c r="F25" s="56">
        <v>34</v>
      </c>
      <c r="G25" s="55">
        <f t="shared" si="0"/>
        <v>0.69333333333333336</v>
      </c>
    </row>
    <row r="26" spans="2:7" ht="18" customHeight="1" x14ac:dyDescent="0.3">
      <c r="B26" s="13" t="s">
        <v>51</v>
      </c>
      <c r="C26" s="115">
        <f>((D10*D12*10000/(D21*D14*C25))^(1/3))/100</f>
        <v>3.9158331520240406</v>
      </c>
      <c r="D26" s="115">
        <f>((((D10*D12)+(D11*D13))*10000/(D21*D14*D25))^(1/3))/100</f>
        <v>4.686407871821646</v>
      </c>
      <c r="F26" s="63">
        <v>35</v>
      </c>
      <c r="G26" s="64">
        <f t="shared" si="0"/>
        <v>0.66666666666666663</v>
      </c>
    </row>
    <row r="27" spans="2:7" ht="18" customHeight="1" x14ac:dyDescent="0.25">
      <c r="F27" s="53" t="s">
        <v>42</v>
      </c>
      <c r="G27" s="65">
        <f>VLOOKUP(D22,F16:G26,2)</f>
        <v>0.8</v>
      </c>
    </row>
    <row r="28" spans="2:7" ht="18" customHeight="1" x14ac:dyDescent="0.25"/>
    <row r="29" spans="2:7" ht="18" customHeight="1" x14ac:dyDescent="0.25"/>
    <row r="30" spans="2:7" ht="18" customHeight="1" x14ac:dyDescent="0.25"/>
    <row r="31" spans="2:7" ht="18" customHeight="1" x14ac:dyDescent="0.25"/>
    <row r="32" spans="2:7" ht="18" customHeight="1" x14ac:dyDescent="0.25"/>
    <row r="33" spans="4:4" ht="18" customHeight="1" x14ac:dyDescent="0.25"/>
    <row r="34" spans="4:4" ht="18" customHeight="1" x14ac:dyDescent="0.25"/>
    <row r="35" spans="4:4" ht="18" customHeight="1" x14ac:dyDescent="0.25"/>
    <row r="36" spans="4:4" ht="18" customHeight="1" x14ac:dyDescent="0.25"/>
    <row r="37" spans="4:4" ht="18" customHeight="1" x14ac:dyDescent="0.3">
      <c r="D37" s="2"/>
    </row>
    <row r="38" spans="4:4" ht="18" customHeight="1" x14ac:dyDescent="0.25"/>
    <row r="39" spans="4:4" ht="20.100000000000001" customHeight="1" x14ac:dyDescent="0.25"/>
    <row r="40" spans="4:4" ht="20.100000000000001" customHeight="1" x14ac:dyDescent="0.25"/>
    <row r="41" spans="4:4" ht="20.100000000000001" customHeight="1" x14ac:dyDescent="0.25"/>
    <row r="42" spans="4:4" ht="20.100000000000001" customHeight="1" x14ac:dyDescent="0.25"/>
    <row r="43" spans="4:4" ht="20.100000000000001" customHeight="1" x14ac:dyDescent="0.25"/>
    <row r="44" spans="4:4" ht="20.100000000000001" customHeight="1" x14ac:dyDescent="0.25"/>
    <row r="45" spans="4:4" ht="20.100000000000001" customHeight="1" x14ac:dyDescent="0.25"/>
    <row r="46" spans="4:4" ht="20.100000000000001" customHeight="1" x14ac:dyDescent="0.25"/>
    <row r="47" spans="4:4" ht="20.100000000000001" customHeight="1" x14ac:dyDescent="0.25"/>
    <row r="48" spans="4:4" ht="20.100000000000001" customHeight="1" x14ac:dyDescent="0.25"/>
    <row r="49" ht="20.100000000000001" customHeight="1" x14ac:dyDescent="0.25"/>
    <row r="50" ht="20.100000000000001" customHeight="1" x14ac:dyDescent="0.25"/>
  </sheetData>
  <mergeCells count="1">
    <mergeCell ref="B2:D2"/>
  </mergeCells>
  <pageMargins left="0" right="0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Chevron_renfort Alu 430752</vt:lpstr>
      <vt:lpstr>Chevron eco_renfort Alu 430752</vt:lpstr>
      <vt:lpstr>Chevron vitrage</vt:lpstr>
      <vt:lpstr>Chevron plaque</vt:lpstr>
      <vt:lpstr>Chevron eco(Fe 739026)</vt:lpstr>
      <vt:lpstr>Chevron+spot d35(Fe 739026)</vt:lpstr>
      <vt:lpstr>Chevron eco+spot d35(Fe 739026)</vt:lpstr>
      <vt:lpstr>'Chevron eco(Fe 739026)'!Pente</vt:lpstr>
      <vt:lpstr>'Chevron eco_renfort Alu 430752'!Pente</vt:lpstr>
      <vt:lpstr>'Chevron eco+spot d35(Fe 739026)'!Pente</vt:lpstr>
      <vt:lpstr>'Chevron plaque'!Pente</vt:lpstr>
      <vt:lpstr>'Chevron vitrage'!Pente</vt:lpstr>
      <vt:lpstr>'Chevron+spot d35(Fe 739026)'!Pente</vt:lpstr>
      <vt:lpstr>Pente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Bureau d'Etudes</dc:creator>
  <cp:lastModifiedBy>Bart COUSSENS</cp:lastModifiedBy>
  <cp:lastPrinted>2020-12-16T09:16:34Z</cp:lastPrinted>
  <dcterms:created xsi:type="dcterms:W3CDTF">1999-01-14T13:32:56Z</dcterms:created>
  <dcterms:modified xsi:type="dcterms:W3CDTF">2021-02-18T08:58:12Z</dcterms:modified>
</cp:coreProperties>
</file>