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PATIO/INERTIES/CALCULS/CHEVRON/"/>
    </mc:Choice>
  </mc:AlternateContent>
  <xr:revisionPtr revIDLastSave="9" documentId="13_ncr:1_{FC447B60-CCB4-4EBB-A9B6-F9F4EF6758CA}" xr6:coauthVersionLast="46" xr6:coauthVersionMax="46" xr10:uidLastSave="{6CAD1955-9DD2-41A5-A014-48C84061CA6E}"/>
  <bookViews>
    <workbookView xWindow="-108" yWindow="-108" windowWidth="23256" windowHeight="12576" tabRatio="728" xr2:uid="{00000000-000D-0000-FFFF-FFFF00000000}"/>
  </bookViews>
  <sheets>
    <sheet name="PORTEE Renf Fe 50x90x3 vitrage" sheetId="5" r:id="rId1"/>
    <sheet name="PORTEE Renf Fe 10x100 vitrage" sheetId="6" r:id="rId2"/>
    <sheet name="PORTEE Renf Fe 50x90x3 plaque" sheetId="9" r:id="rId3"/>
    <sheet name="PORTEE Renf Fe 10x100 plaque" sheetId="10" r:id="rId4"/>
  </sheets>
  <definedNames>
    <definedName name="Appuis">#REF!</definedName>
    <definedName name="Coeff">#REF!</definedName>
    <definedName name="Coeff_Pente">#REF!</definedName>
    <definedName name="EIprofil">#REF!</definedName>
    <definedName name="EItotal">#REF!</definedName>
    <definedName name="Eprofil">#REF!</definedName>
    <definedName name="Erenfort">#REF!</definedName>
    <definedName name="f_Acryl">#REF!</definedName>
    <definedName name="f_DV">#REF!</definedName>
    <definedName name="f_VF">#REF!</definedName>
    <definedName name="Iprofil">#REF!</definedName>
    <definedName name="Irenfort">#REF!</definedName>
    <definedName name="P_Acryl">#REF!</definedName>
    <definedName name="P_DV">#REF!</definedName>
    <definedName name="P_VF">#REF!</definedName>
    <definedName name="Pente" localSheetId="3">'PORTEE Renf Fe 10x100 plaque'!$F$16:$F$22</definedName>
    <definedName name="Pente" localSheetId="1">'PORTEE Renf Fe 10x100 vitrage'!$F$16:$F$22</definedName>
    <definedName name="Pente" localSheetId="2">'PORTEE Renf Fe 50x90x3 plaque'!$F$16:$F$22</definedName>
    <definedName name="Pente" localSheetId="0">'PORTEE Renf Fe 50x90x3 vitrage'!$F$16:$F$22</definedName>
    <definedName name="Pente">#REF!</definedName>
    <definedName name="Pprofil">#REF!</definedName>
    <definedName name="Prenfort">#REF!</definedName>
    <definedName name="Profil">#REF!</definedName>
    <definedName name="réduction">#REF!</definedName>
    <definedName name="Rég.A">#REF!</definedName>
    <definedName name="Rég.B">#REF!</definedName>
    <definedName name="Rég.C">#REF!</definedName>
    <definedName name="Rég.D">#REF!</definedName>
    <definedName name="résulta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10" l="1"/>
  <c r="O30" i="10"/>
  <c r="P30" i="10"/>
  <c r="N31" i="10"/>
  <c r="O31" i="10"/>
  <c r="P31" i="10"/>
  <c r="N32" i="10"/>
  <c r="O32" i="10"/>
  <c r="P32" i="10"/>
  <c r="N33" i="10"/>
  <c r="O33" i="10"/>
  <c r="P33" i="10"/>
  <c r="N34" i="10"/>
  <c r="O34" i="10"/>
  <c r="P34" i="10"/>
  <c r="N18" i="10"/>
  <c r="O18" i="10"/>
  <c r="P18" i="10"/>
  <c r="N19" i="10"/>
  <c r="O19" i="10"/>
  <c r="P19" i="10"/>
  <c r="N20" i="10"/>
  <c r="O20" i="10"/>
  <c r="P20" i="10"/>
  <c r="N21" i="10"/>
  <c r="O21" i="10"/>
  <c r="P21" i="10"/>
  <c r="N22" i="10"/>
  <c r="O22" i="10"/>
  <c r="P22" i="10"/>
  <c r="M18" i="9"/>
  <c r="N24" i="9"/>
  <c r="O24" i="9"/>
  <c r="P24" i="9"/>
  <c r="N25" i="9"/>
  <c r="O25" i="9"/>
  <c r="P25" i="9"/>
  <c r="N26" i="9"/>
  <c r="O26" i="9"/>
  <c r="P26" i="9"/>
  <c r="N27" i="9"/>
  <c r="O27" i="9"/>
  <c r="P27" i="9"/>
  <c r="N28" i="9"/>
  <c r="O28" i="9"/>
  <c r="P28" i="9"/>
  <c r="N18" i="9"/>
  <c r="O18" i="9"/>
  <c r="P18" i="9"/>
  <c r="N19" i="9"/>
  <c r="O19" i="9"/>
  <c r="P19" i="9"/>
  <c r="N20" i="9"/>
  <c r="O20" i="9"/>
  <c r="P20" i="9"/>
  <c r="N21" i="9"/>
  <c r="O21" i="9"/>
  <c r="P21" i="9"/>
  <c r="N22" i="9"/>
  <c r="O22" i="9"/>
  <c r="P22" i="9"/>
  <c r="L18" i="10" l="1"/>
  <c r="M18" i="10"/>
  <c r="Q18" i="10"/>
  <c r="R18" i="10"/>
  <c r="L19" i="10"/>
  <c r="M19" i="10"/>
  <c r="Q19" i="10"/>
  <c r="R19" i="10"/>
  <c r="L20" i="10"/>
  <c r="M20" i="10"/>
  <c r="Q20" i="10"/>
  <c r="R20" i="10"/>
  <c r="L21" i="10"/>
  <c r="M21" i="10"/>
  <c r="Q21" i="10"/>
  <c r="R21" i="10"/>
  <c r="L22" i="10"/>
  <c r="M22" i="10"/>
  <c r="Q22" i="10"/>
  <c r="R22" i="10"/>
  <c r="K19" i="10"/>
  <c r="K20" i="10"/>
  <c r="K21" i="10"/>
  <c r="K22" i="10"/>
  <c r="K18" i="10"/>
  <c r="L30" i="10"/>
  <c r="M30" i="10"/>
  <c r="Q30" i="10"/>
  <c r="R30" i="10"/>
  <c r="L31" i="10"/>
  <c r="M31" i="10"/>
  <c r="Q31" i="10"/>
  <c r="R31" i="10"/>
  <c r="L32" i="10"/>
  <c r="M32" i="10"/>
  <c r="Q32" i="10"/>
  <c r="R32" i="10"/>
  <c r="L33" i="10"/>
  <c r="M33" i="10"/>
  <c r="Q33" i="10"/>
  <c r="R33" i="10"/>
  <c r="L34" i="10"/>
  <c r="M34" i="10"/>
  <c r="Q34" i="10"/>
  <c r="R34" i="10"/>
  <c r="K31" i="10"/>
  <c r="K32" i="10"/>
  <c r="K33" i="10"/>
  <c r="K34" i="10"/>
  <c r="K30" i="10"/>
  <c r="L24" i="9"/>
  <c r="M24" i="9"/>
  <c r="Q24" i="9"/>
  <c r="R24" i="9"/>
  <c r="L25" i="9"/>
  <c r="M25" i="9"/>
  <c r="Q25" i="9"/>
  <c r="R25" i="9"/>
  <c r="L26" i="9"/>
  <c r="M26" i="9"/>
  <c r="Q26" i="9"/>
  <c r="R26" i="9"/>
  <c r="L27" i="9"/>
  <c r="M27" i="9"/>
  <c r="Q27" i="9"/>
  <c r="R27" i="9"/>
  <c r="L28" i="9"/>
  <c r="M28" i="9"/>
  <c r="Q28" i="9"/>
  <c r="R28" i="9"/>
  <c r="K25" i="9"/>
  <c r="K26" i="9"/>
  <c r="K27" i="9"/>
  <c r="K28" i="9"/>
  <c r="K24" i="9"/>
  <c r="L18" i="9"/>
  <c r="Q18" i="9"/>
  <c r="R18" i="9"/>
  <c r="L19" i="9"/>
  <c r="M19" i="9"/>
  <c r="Q19" i="9"/>
  <c r="R19" i="9"/>
  <c r="L20" i="9"/>
  <c r="M20" i="9"/>
  <c r="Q20" i="9"/>
  <c r="R20" i="9"/>
  <c r="L21" i="9"/>
  <c r="M21" i="9"/>
  <c r="Q21" i="9"/>
  <c r="R21" i="9"/>
  <c r="L22" i="9"/>
  <c r="M22" i="9"/>
  <c r="Q22" i="9"/>
  <c r="R22" i="9"/>
  <c r="K19" i="9"/>
  <c r="K20" i="9"/>
  <c r="K21" i="9"/>
  <c r="K22" i="9"/>
  <c r="K18" i="9"/>
  <c r="L18" i="6"/>
  <c r="M18" i="6"/>
  <c r="N18" i="6"/>
  <c r="O18" i="6"/>
  <c r="P18" i="6"/>
  <c r="L19" i="6"/>
  <c r="M19" i="6"/>
  <c r="N19" i="6"/>
  <c r="O19" i="6"/>
  <c r="P19" i="6"/>
  <c r="L20" i="6"/>
  <c r="M20" i="6"/>
  <c r="N20" i="6"/>
  <c r="O20" i="6"/>
  <c r="P20" i="6"/>
  <c r="L21" i="6"/>
  <c r="M21" i="6"/>
  <c r="N21" i="6"/>
  <c r="O21" i="6"/>
  <c r="P21" i="6"/>
  <c r="L22" i="6"/>
  <c r="M22" i="6"/>
  <c r="N22" i="6"/>
  <c r="O22" i="6"/>
  <c r="P22" i="6"/>
  <c r="K19" i="6"/>
  <c r="K20" i="6"/>
  <c r="K21" i="6"/>
  <c r="K22" i="6"/>
  <c r="K18" i="6"/>
  <c r="K18" i="5"/>
  <c r="L30" i="6" l="1"/>
  <c r="M30" i="6"/>
  <c r="N30" i="6"/>
  <c r="O30" i="6"/>
  <c r="P30" i="6"/>
  <c r="L31" i="6"/>
  <c r="M31" i="6"/>
  <c r="N31" i="6"/>
  <c r="O31" i="6"/>
  <c r="P31" i="6"/>
  <c r="L32" i="6"/>
  <c r="M32" i="6"/>
  <c r="N32" i="6"/>
  <c r="O32" i="6"/>
  <c r="P32" i="6"/>
  <c r="L33" i="6"/>
  <c r="M33" i="6"/>
  <c r="N33" i="6"/>
  <c r="O33" i="6"/>
  <c r="P33" i="6"/>
  <c r="L34" i="6"/>
  <c r="M34" i="6"/>
  <c r="N34" i="6"/>
  <c r="O34" i="6"/>
  <c r="P34" i="6"/>
  <c r="K31" i="6"/>
  <c r="K32" i="6"/>
  <c r="K33" i="6"/>
  <c r="K34" i="6"/>
  <c r="K30" i="6"/>
  <c r="L24" i="5"/>
  <c r="M24" i="5"/>
  <c r="N24" i="5"/>
  <c r="O24" i="5"/>
  <c r="P24" i="5"/>
  <c r="L25" i="5"/>
  <c r="M25" i="5"/>
  <c r="N25" i="5"/>
  <c r="O25" i="5"/>
  <c r="P25" i="5"/>
  <c r="L26" i="5"/>
  <c r="M26" i="5"/>
  <c r="N26" i="5"/>
  <c r="O26" i="5"/>
  <c r="P26" i="5"/>
  <c r="L27" i="5"/>
  <c r="M27" i="5"/>
  <c r="N27" i="5"/>
  <c r="O27" i="5"/>
  <c r="P27" i="5"/>
  <c r="L28" i="5"/>
  <c r="M28" i="5"/>
  <c r="N28" i="5"/>
  <c r="O28" i="5"/>
  <c r="P28" i="5"/>
  <c r="K25" i="5"/>
  <c r="K26" i="5"/>
  <c r="K27" i="5"/>
  <c r="K28" i="5"/>
  <c r="K24" i="5"/>
  <c r="L18" i="5"/>
  <c r="M18" i="5"/>
  <c r="N18" i="5"/>
  <c r="O18" i="5"/>
  <c r="P18" i="5"/>
  <c r="L19" i="5"/>
  <c r="M19" i="5"/>
  <c r="N19" i="5"/>
  <c r="O19" i="5"/>
  <c r="P19" i="5"/>
  <c r="L20" i="5"/>
  <c r="M20" i="5"/>
  <c r="N20" i="5"/>
  <c r="O20" i="5"/>
  <c r="P20" i="5"/>
  <c r="L21" i="5"/>
  <c r="M21" i="5"/>
  <c r="N21" i="5"/>
  <c r="O21" i="5"/>
  <c r="P21" i="5"/>
  <c r="L22" i="5"/>
  <c r="M22" i="5"/>
  <c r="N22" i="5"/>
  <c r="O22" i="5"/>
  <c r="P22" i="5"/>
  <c r="K19" i="5"/>
  <c r="K20" i="5"/>
  <c r="K21" i="5"/>
  <c r="K22" i="5"/>
  <c r="G22" i="10" l="1"/>
  <c r="D25" i="10" s="1"/>
  <c r="D26" i="10" s="1"/>
  <c r="G21" i="10"/>
  <c r="D25" i="9"/>
  <c r="D26" i="9" s="1"/>
  <c r="C25" i="9"/>
  <c r="C26" i="9" s="1"/>
  <c r="G22" i="9"/>
  <c r="G21" i="9"/>
  <c r="C25" i="10" l="1"/>
  <c r="C26" i="10" s="1"/>
  <c r="D25" i="5" l="1"/>
  <c r="D26" i="5" s="1"/>
  <c r="C25" i="5"/>
  <c r="C26" i="5" s="1"/>
  <c r="G22" i="6" l="1"/>
  <c r="G21" i="6"/>
  <c r="C25" i="6" l="1"/>
  <c r="C26" i="6" s="1"/>
  <c r="D25" i="6"/>
  <c r="D26" i="6" s="1"/>
  <c r="G22" i="5"/>
  <c r="G21" i="5"/>
</calcChain>
</file>

<file path=xl/sharedStrings.xml><?xml version="1.0" encoding="utf-8"?>
<sst xmlns="http://schemas.openxmlformats.org/spreadsheetml/2006/main" count="194" uniqueCount="52">
  <si>
    <t>Valeurs variables</t>
  </si>
  <si>
    <t>Pas des chevrons</t>
  </si>
  <si>
    <t>déscription</t>
  </si>
  <si>
    <t>unité</t>
  </si>
  <si>
    <t>Kg/m²</t>
  </si>
  <si>
    <t>m</t>
  </si>
  <si>
    <t>Valeurs fixes</t>
  </si>
  <si>
    <t>E alu</t>
  </si>
  <si>
    <t>E acier</t>
  </si>
  <si>
    <t>I renfort</t>
  </si>
  <si>
    <t>cm4</t>
  </si>
  <si>
    <t>5/384</t>
  </si>
  <si>
    <t>Constante '2 appuis simples'</t>
  </si>
  <si>
    <t>Poids sur chevron</t>
  </si>
  <si>
    <t>sans renfort</t>
  </si>
  <si>
    <t>avec renfort</t>
  </si>
  <si>
    <t>Kg/mm²</t>
  </si>
  <si>
    <t>Calcul</t>
  </si>
  <si>
    <t>Constante 'flèche max'</t>
  </si>
  <si>
    <t>Poids renfort</t>
  </si>
  <si>
    <t>Poids remplissage</t>
  </si>
  <si>
    <t>Charge de neige</t>
  </si>
  <si>
    <t>Poids chevron</t>
  </si>
  <si>
    <t>I chevron</t>
  </si>
  <si>
    <t>Kg/m</t>
  </si>
  <si>
    <t>Valeur à insérer</t>
  </si>
  <si>
    <t>Renfort Fe50x90x3: 739025</t>
  </si>
  <si>
    <t>avec renforts</t>
  </si>
  <si>
    <t>Renfort Fe100x10: 739016</t>
  </si>
  <si>
    <t>Chevron_115: 431922</t>
  </si>
  <si>
    <t>Pente</t>
  </si>
  <si>
    <t>Valeur</t>
  </si>
  <si>
    <t xml:space="preserve">nu = </t>
  </si>
  <si>
    <t>Pas chevron</t>
  </si>
  <si>
    <t>Charge neige</t>
  </si>
  <si>
    <t>°</t>
  </si>
  <si>
    <t>Pente toiture</t>
  </si>
  <si>
    <r>
      <t xml:space="preserve">PROFONDEUR PATIO chevron </t>
    </r>
    <r>
      <rPr>
        <u/>
        <sz val="10"/>
        <color rgb="FF0000CC"/>
        <rFont val="MS Sans Serif"/>
        <family val="2"/>
      </rPr>
      <t>sans</t>
    </r>
    <r>
      <rPr>
        <sz val="10"/>
        <color rgb="FF0000CC"/>
        <rFont val="MS Sans Serif"/>
        <family val="2"/>
      </rPr>
      <t xml:space="preserve"> renfort / Flèche maxi=L/200 / Vitrage</t>
    </r>
  </si>
  <si>
    <t>PROFONDEUR PATIO chevron renfort 50x90x3 / Flèche maxi=L/200 / Vitrage</t>
  </si>
  <si>
    <t>PROFONDEUR PATIO chevron 1 x renfort 10x100 / Flèche maxi=L/200 / Vitrage</t>
  </si>
  <si>
    <t>PROFONDEUR (PATIO chevron 2 x renfort 10x100 / Flèche maxi=L/200 / Vitrage</t>
  </si>
  <si>
    <r>
      <t xml:space="preserve">Version 09/2020   </t>
    </r>
    <r>
      <rPr>
        <sz val="10"/>
        <color rgb="FFFF0000"/>
        <rFont val="Arial"/>
        <family val="2"/>
      </rPr>
      <t>Ces valeurs sont données a titre indicatif et n'engagent pas Flandria !</t>
    </r>
  </si>
  <si>
    <t>PROFONDEUR PATIO chevron renfort 50x90x3 / Flèche maxi=L/200 / Plaque</t>
  </si>
  <si>
    <r>
      <t xml:space="preserve">PROFONDEUR PATIO chevron </t>
    </r>
    <r>
      <rPr>
        <u/>
        <sz val="10"/>
        <color rgb="FFFF0000"/>
        <rFont val="MS Sans Serif"/>
        <family val="2"/>
      </rPr>
      <t>sans</t>
    </r>
    <r>
      <rPr>
        <sz val="10"/>
        <color rgb="FFFF0000"/>
        <rFont val="MS Sans Serif"/>
        <family val="2"/>
      </rPr>
      <t xml:space="preserve"> renfort / Flèche maxi=L/200 / Plaque</t>
    </r>
  </si>
  <si>
    <t>PROFONDEUR PATIO chevron 1 x renfort 10x100 / Flèche maxi=L/200 / Plaque</t>
  </si>
  <si>
    <t>PROFONDEUR (PATIO chevron 2 x renfort 10x100 / Flèche maxi=L/200 / Plaque</t>
  </si>
  <si>
    <r>
      <t xml:space="preserve">P A T I O   PORTEE CHEVRON </t>
    </r>
    <r>
      <rPr>
        <b/>
        <sz val="12"/>
        <color rgb="FF0000CC"/>
        <rFont val="MS Sans Serif"/>
      </rPr>
      <t>vitrage</t>
    </r>
  </si>
  <si>
    <r>
      <t xml:space="preserve">P A T I O  PORTEE CHEVRON </t>
    </r>
    <r>
      <rPr>
        <b/>
        <sz val="12"/>
        <color rgb="FF0000CC"/>
        <rFont val="MS Sans Serif"/>
      </rPr>
      <t>vitrage</t>
    </r>
  </si>
  <si>
    <r>
      <t xml:space="preserve">P A T I O   PORTEE CHEVRON </t>
    </r>
    <r>
      <rPr>
        <b/>
        <sz val="12"/>
        <color rgb="FF0000CC"/>
        <rFont val="MS Sans Serif"/>
      </rPr>
      <t>plaque</t>
    </r>
  </si>
  <si>
    <r>
      <t xml:space="preserve">P A T I O  PORTEE CHEVRON </t>
    </r>
    <r>
      <rPr>
        <b/>
        <sz val="12"/>
        <color rgb="FF0000CC"/>
        <rFont val="MS Sans Serif"/>
      </rPr>
      <t>plaque</t>
    </r>
  </si>
  <si>
    <t>Profondeur (m) maxi</t>
  </si>
  <si>
    <t>Ces valeurs sont données a titre indicatif et n'engagent pas Flandria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</si>
</sst>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&quot;  Kg/m&quot;"/>
  </numFmts>
  <fonts count="22" x14ac:knownFonts="1">
    <font>
      <sz val="10"/>
      <name val="MS Sans Serif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name val="MS Sans Serif"/>
      <family val="2"/>
    </font>
    <font>
      <b/>
      <sz val="12"/>
      <color indexed="9"/>
      <name val="MS Sans Serif"/>
      <family val="2"/>
    </font>
    <font>
      <b/>
      <u/>
      <sz val="10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2"/>
      <name val="MS Sans Serif"/>
      <family val="2"/>
    </font>
    <font>
      <b/>
      <sz val="12"/>
      <color indexed="10"/>
      <name val="MS Sans Serif"/>
      <family val="2"/>
    </font>
    <font>
      <b/>
      <i/>
      <sz val="10"/>
      <name val="MS Sans Serif"/>
      <family val="2"/>
    </font>
    <font>
      <sz val="10"/>
      <name val="MS Sans Serif"/>
      <family val="2"/>
    </font>
    <font>
      <i/>
      <sz val="10"/>
      <name val="MS Sans Serif"/>
      <family val="2"/>
    </font>
    <font>
      <b/>
      <sz val="12"/>
      <color indexed="12"/>
      <name val="MS Sans Serif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CC"/>
      <name val="MS Sans Serif"/>
      <family val="2"/>
    </font>
    <font>
      <u/>
      <sz val="10"/>
      <color rgb="FF0000CC"/>
      <name val="MS Sans Serif"/>
      <family val="2"/>
    </font>
    <font>
      <b/>
      <sz val="1"/>
      <name val="MS Sans Serif"/>
      <family val="2"/>
    </font>
    <font>
      <sz val="10"/>
      <color rgb="FFFF0000"/>
      <name val="MS Sans Serif"/>
      <family val="2"/>
    </font>
    <font>
      <u/>
      <sz val="10"/>
      <color rgb="FFFF0000"/>
      <name val="MS Sans Serif"/>
      <family val="2"/>
    </font>
    <font>
      <b/>
      <sz val="12"/>
      <color rgb="FF0000CC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/>
    <xf numFmtId="0" fontId="4" fillId="2" borderId="0" xfId="0" applyFont="1" applyFill="1"/>
    <xf numFmtId="0" fontId="0" fillId="0" borderId="1" xfId="0" applyBorder="1" applyAlignment="1">
      <alignment horizontal="right"/>
    </xf>
    <xf numFmtId="0" fontId="0" fillId="0" borderId="1" xfId="0" applyBorder="1"/>
    <xf numFmtId="0" fontId="6" fillId="0" borderId="1" xfId="0" applyFont="1" applyBorder="1" applyAlignment="1">
      <alignment horizontal="right"/>
    </xf>
    <xf numFmtId="0" fontId="0" fillId="0" borderId="2" xfId="0" applyBorder="1"/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0" borderId="0" xfId="0" applyFont="1" applyFill="1"/>
    <xf numFmtId="0" fontId="3" fillId="0" borderId="2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7" fillId="0" borderId="0" xfId="0" applyFont="1" applyBorder="1"/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Border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1" fillId="4" borderId="1" xfId="0" applyNumberFormat="1" applyFont="1" applyFill="1" applyBorder="1"/>
    <xf numFmtId="2" fontId="11" fillId="4" borderId="1" xfId="0" applyNumberFormat="1" applyFont="1" applyFill="1" applyBorder="1"/>
    <xf numFmtId="0" fontId="11" fillId="4" borderId="1" xfId="0" applyFont="1" applyFill="1" applyBorder="1" applyAlignment="1">
      <alignment horizontal="right"/>
    </xf>
    <xf numFmtId="14" fontId="14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0" fillId="0" borderId="5" xfId="0" applyNumberFormat="1" applyBorder="1" applyAlignment="1"/>
    <xf numFmtId="2" fontId="0" fillId="0" borderId="6" xfId="0" applyNumberFormat="1" applyBorder="1" applyAlignment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2" fontId="2" fillId="0" borderId="1" xfId="0" applyNumberFormat="1" applyFont="1" applyBorder="1"/>
    <xf numFmtId="0" fontId="16" fillId="0" borderId="0" xfId="0" applyFont="1"/>
    <xf numFmtId="165" fontId="8" fillId="0" borderId="1" xfId="0" applyNumberFormat="1" applyFont="1" applyBorder="1" applyAlignment="1">
      <alignment horizontal="center" vertical="center"/>
    </xf>
    <xf numFmtId="2" fontId="0" fillId="0" borderId="0" xfId="0" applyNumberFormat="1" applyBorder="1" applyAlignment="1"/>
    <xf numFmtId="1" fontId="2" fillId="0" borderId="1" xfId="0" applyNumberFormat="1" applyFont="1" applyFill="1" applyBorder="1" applyAlignment="1" applyProtection="1">
      <alignment horizontal="right" vertical="center"/>
      <protection locked="0"/>
    </xf>
    <xf numFmtId="1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9" fillId="0" borderId="6" xfId="0" applyFont="1" applyBorder="1" applyAlignment="1">
      <alignment horizontal="right"/>
    </xf>
    <xf numFmtId="2" fontId="19" fillId="0" borderId="6" xfId="0" applyNumberFormat="1" applyFont="1" applyBorder="1" applyAlignment="1"/>
    <xf numFmtId="1" fontId="2" fillId="5" borderId="1" xfId="0" applyNumberFormat="1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164" fontId="2" fillId="5" borderId="1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12" fillId="5" borderId="1" xfId="0" applyFont="1" applyFill="1" applyBorder="1" applyAlignment="1">
      <alignment horizontal="right"/>
    </xf>
    <xf numFmtId="0" fontId="11" fillId="0" borderId="0" xfId="0" applyFont="1" applyAlignment="1">
      <alignment horizontal="center" vertical="center"/>
    </xf>
    <xf numFmtId="2" fontId="9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/>
    <xf numFmtId="0" fontId="2" fillId="0" borderId="6" xfId="0" applyFont="1" applyBorder="1"/>
    <xf numFmtId="0" fontId="2" fillId="0" borderId="14" xfId="0" applyFont="1" applyBorder="1"/>
    <xf numFmtId="0" fontId="2" fillId="0" borderId="15" xfId="0" applyFont="1" applyBorder="1"/>
    <xf numFmtId="2" fontId="16" fillId="0" borderId="11" xfId="0" applyNumberFormat="1" applyFont="1" applyBorder="1"/>
    <xf numFmtId="2" fontId="18" fillId="0" borderId="16" xfId="0" applyNumberFormat="1" applyFont="1" applyBorder="1"/>
    <xf numFmtId="164" fontId="2" fillId="0" borderId="17" xfId="0" applyNumberFormat="1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16" fillId="0" borderId="22" xfId="0" applyNumberFormat="1" applyFont="1" applyBorder="1"/>
    <xf numFmtId="2" fontId="16" fillId="0" borderId="23" xfId="0" applyNumberFormat="1" applyFont="1" applyBorder="1"/>
    <xf numFmtId="2" fontId="16" fillId="0" borderId="24" xfId="0" applyNumberFormat="1" applyFont="1" applyFill="1" applyBorder="1"/>
    <xf numFmtId="2" fontId="16" fillId="0" borderId="25" xfId="0" applyNumberFormat="1" applyFont="1" applyFill="1" applyBorder="1"/>
    <xf numFmtId="2" fontId="18" fillId="0" borderId="26" xfId="0" applyNumberFormat="1" applyFont="1" applyBorder="1"/>
    <xf numFmtId="2" fontId="16" fillId="0" borderId="27" xfId="0" applyNumberFormat="1" applyFont="1" applyFill="1" applyBorder="1"/>
    <xf numFmtId="2" fontId="16" fillId="0" borderId="28" xfId="0" applyNumberFormat="1" applyFont="1" applyBorder="1"/>
    <xf numFmtId="2" fontId="16" fillId="0" borderId="29" xfId="0" applyNumberFormat="1" applyFont="1" applyBorder="1"/>
    <xf numFmtId="2" fontId="16" fillId="0" borderId="30" xfId="0" applyNumberFormat="1" applyFont="1" applyBorder="1"/>
    <xf numFmtId="2" fontId="16" fillId="0" borderId="15" xfId="0" applyNumberFormat="1" applyFont="1" applyBorder="1"/>
    <xf numFmtId="2" fontId="16" fillId="0" borderId="32" xfId="0" applyNumberFormat="1" applyFont="1" applyBorder="1"/>
    <xf numFmtId="2" fontId="16" fillId="0" borderId="31" xfId="0" applyNumberFormat="1" applyFont="1" applyFill="1" applyBorder="1"/>
    <xf numFmtId="0" fontId="2" fillId="0" borderId="33" xfId="0" applyFont="1" applyFill="1" applyBorder="1"/>
    <xf numFmtId="164" fontId="18" fillId="0" borderId="16" xfId="0" applyNumberFormat="1" applyFont="1" applyBorder="1"/>
    <xf numFmtId="164" fontId="2" fillId="0" borderId="26" xfId="0" applyNumberFormat="1" applyFont="1" applyBorder="1"/>
    <xf numFmtId="164" fontId="18" fillId="0" borderId="26" xfId="0" applyNumberFormat="1" applyFont="1" applyBorder="1"/>
    <xf numFmtId="2" fontId="16" fillId="0" borderId="20" xfId="0" applyNumberFormat="1" applyFont="1" applyBorder="1" applyAlignment="1">
      <alignment horizontal="center"/>
    </xf>
    <xf numFmtId="2" fontId="16" fillId="0" borderId="14" xfId="0" applyNumberFormat="1" applyFont="1" applyBorder="1" applyAlignment="1">
      <alignment horizontal="center"/>
    </xf>
    <xf numFmtId="2" fontId="16" fillId="0" borderId="21" xfId="0" applyNumberFormat="1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2" fontId="16" fillId="0" borderId="22" xfId="0" applyNumberFormat="1" applyFont="1" applyBorder="1" applyAlignment="1">
      <alignment horizontal="center"/>
    </xf>
    <xf numFmtId="2" fontId="16" fillId="0" borderId="15" xfId="0" applyNumberFormat="1" applyFont="1" applyBorder="1" applyAlignment="1">
      <alignment horizontal="center"/>
    </xf>
    <xf numFmtId="2" fontId="16" fillId="0" borderId="23" xfId="0" applyNumberFormat="1" applyFont="1" applyBorder="1" applyAlignment="1">
      <alignment horizontal="center"/>
    </xf>
    <xf numFmtId="2" fontId="16" fillId="0" borderId="11" xfId="0" applyNumberFormat="1" applyFont="1" applyBorder="1" applyAlignment="1">
      <alignment horizontal="center"/>
    </xf>
    <xf numFmtId="2" fontId="16" fillId="0" borderId="24" xfId="0" applyNumberFormat="1" applyFont="1" applyFill="1" applyBorder="1" applyAlignment="1">
      <alignment horizontal="center"/>
    </xf>
    <xf numFmtId="2" fontId="16" fillId="0" borderId="31" xfId="0" applyNumberFormat="1" applyFont="1" applyFill="1" applyBorder="1" applyAlignment="1">
      <alignment horizontal="center"/>
    </xf>
    <xf numFmtId="2" fontId="16" fillId="0" borderId="25" xfId="0" applyNumberFormat="1" applyFont="1" applyFill="1" applyBorder="1" applyAlignment="1">
      <alignment horizontal="center"/>
    </xf>
    <xf numFmtId="2" fontId="16" fillId="0" borderId="27" xfId="0" applyNumberFormat="1" applyFont="1" applyFill="1" applyBorder="1" applyAlignment="1">
      <alignment horizontal="center"/>
    </xf>
    <xf numFmtId="2" fontId="16" fillId="0" borderId="28" xfId="0" applyNumberFormat="1" applyFont="1" applyFill="1" applyBorder="1" applyAlignment="1">
      <alignment horizontal="center"/>
    </xf>
    <xf numFmtId="2" fontId="16" fillId="0" borderId="30" xfId="0" applyNumberFormat="1" applyFont="1" applyFill="1" applyBorder="1" applyAlignment="1">
      <alignment horizontal="center"/>
    </xf>
    <xf numFmtId="2" fontId="16" fillId="0" borderId="29" xfId="0" applyNumberFormat="1" applyFont="1" applyFill="1" applyBorder="1" applyAlignment="1">
      <alignment horizontal="center"/>
    </xf>
    <xf numFmtId="2" fontId="16" fillId="0" borderId="32" xfId="0" applyNumberFormat="1" applyFont="1" applyFill="1" applyBorder="1" applyAlignment="1">
      <alignment horizontal="center"/>
    </xf>
    <xf numFmtId="2" fontId="16" fillId="0" borderId="22" xfId="0" applyNumberFormat="1" applyFont="1" applyFill="1" applyBorder="1" applyAlignment="1">
      <alignment horizontal="center"/>
    </xf>
    <xf numFmtId="2" fontId="16" fillId="0" borderId="15" xfId="0" applyNumberFormat="1" applyFont="1" applyFill="1" applyBorder="1" applyAlignment="1">
      <alignment horizontal="center"/>
    </xf>
    <xf numFmtId="2" fontId="16" fillId="0" borderId="23" xfId="0" applyNumberFormat="1" applyFont="1" applyFill="1" applyBorder="1" applyAlignment="1">
      <alignment horizontal="center"/>
    </xf>
    <xf numFmtId="2" fontId="16" fillId="0" borderId="11" xfId="0" applyNumberFormat="1" applyFont="1" applyFill="1" applyBorder="1" applyAlignment="1">
      <alignment horizontal="center"/>
    </xf>
    <xf numFmtId="0" fontId="2" fillId="0" borderId="34" xfId="0" applyFont="1" applyFill="1" applyBorder="1"/>
    <xf numFmtId="0" fontId="19" fillId="0" borderId="0" xfId="0" applyFont="1"/>
    <xf numFmtId="2" fontId="19" fillId="0" borderId="20" xfId="0" applyNumberFormat="1" applyFont="1" applyBorder="1" applyAlignment="1">
      <alignment horizontal="center"/>
    </xf>
    <xf numFmtId="2" fontId="19" fillId="0" borderId="14" xfId="0" applyNumberFormat="1" applyFont="1" applyBorder="1" applyAlignment="1">
      <alignment horizontal="center"/>
    </xf>
    <xf numFmtId="2" fontId="19" fillId="0" borderId="21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2" fontId="19" fillId="0" borderId="15" xfId="0" applyNumberFormat="1" applyFont="1" applyBorder="1" applyAlignment="1">
      <alignment horizontal="center"/>
    </xf>
    <xf numFmtId="2" fontId="19" fillId="0" borderId="23" xfId="0" applyNumberFormat="1" applyFont="1" applyBorder="1" applyAlignment="1">
      <alignment horizontal="center"/>
    </xf>
    <xf numFmtId="2" fontId="19" fillId="0" borderId="11" xfId="0" applyNumberFormat="1" applyFont="1" applyBorder="1" applyAlignment="1">
      <alignment horizontal="center"/>
    </xf>
    <xf numFmtId="2" fontId="19" fillId="0" borderId="24" xfId="0" applyNumberFormat="1" applyFont="1" applyFill="1" applyBorder="1" applyAlignment="1">
      <alignment horizontal="center"/>
    </xf>
    <xf numFmtId="2" fontId="19" fillId="0" borderId="31" xfId="0" applyNumberFormat="1" applyFont="1" applyFill="1" applyBorder="1" applyAlignment="1">
      <alignment horizontal="center"/>
    </xf>
    <xf numFmtId="2" fontId="19" fillId="0" borderId="25" xfId="0" applyNumberFormat="1" applyFont="1" applyFill="1" applyBorder="1" applyAlignment="1">
      <alignment horizontal="center"/>
    </xf>
    <xf numFmtId="2" fontId="19" fillId="0" borderId="27" xfId="0" applyNumberFormat="1" applyFont="1" applyFill="1" applyBorder="1" applyAlignment="1">
      <alignment horizontal="center"/>
    </xf>
    <xf numFmtId="2" fontId="19" fillId="0" borderId="28" xfId="0" applyNumberFormat="1" applyFont="1" applyFill="1" applyBorder="1" applyAlignment="1">
      <alignment horizontal="center"/>
    </xf>
    <xf numFmtId="2" fontId="19" fillId="0" borderId="30" xfId="0" applyNumberFormat="1" applyFont="1" applyFill="1" applyBorder="1" applyAlignment="1">
      <alignment horizontal="center"/>
    </xf>
    <xf numFmtId="2" fontId="19" fillId="0" borderId="29" xfId="0" applyNumberFormat="1" applyFont="1" applyFill="1" applyBorder="1" applyAlignment="1">
      <alignment horizontal="center"/>
    </xf>
    <xf numFmtId="2" fontId="19" fillId="0" borderId="32" xfId="0" applyNumberFormat="1" applyFont="1" applyFill="1" applyBorder="1" applyAlignment="1">
      <alignment horizontal="center"/>
    </xf>
    <xf numFmtId="2" fontId="19" fillId="0" borderId="22" xfId="0" applyNumberFormat="1" applyFont="1" applyFill="1" applyBorder="1" applyAlignment="1">
      <alignment horizontal="center"/>
    </xf>
    <xf numFmtId="2" fontId="19" fillId="0" borderId="15" xfId="0" applyNumberFormat="1" applyFont="1" applyFill="1" applyBorder="1" applyAlignment="1">
      <alignment horizontal="center"/>
    </xf>
    <xf numFmtId="2" fontId="19" fillId="0" borderId="23" xfId="0" applyNumberFormat="1" applyFont="1" applyFill="1" applyBorder="1" applyAlignment="1">
      <alignment horizontal="center"/>
    </xf>
    <xf numFmtId="2" fontId="19" fillId="0" borderId="11" xfId="0" applyNumberFormat="1" applyFont="1" applyFill="1" applyBorder="1" applyAlignment="1">
      <alignment horizontal="center"/>
    </xf>
    <xf numFmtId="2" fontId="19" fillId="0" borderId="11" xfId="0" applyNumberFormat="1" applyFont="1" applyBorder="1"/>
    <xf numFmtId="2" fontId="19" fillId="0" borderId="23" xfId="0" applyNumberFormat="1" applyFont="1" applyBorder="1"/>
    <xf numFmtId="2" fontId="19" fillId="0" borderId="22" xfId="0" applyNumberFormat="1" applyFont="1" applyBorder="1"/>
    <xf numFmtId="2" fontId="19" fillId="0" borderId="27" xfId="0" applyNumberFormat="1" applyFont="1" applyFill="1" applyBorder="1"/>
    <xf numFmtId="2" fontId="19" fillId="0" borderId="25" xfId="0" applyNumberFormat="1" applyFont="1" applyFill="1" applyBorder="1"/>
    <xf numFmtId="2" fontId="19" fillId="0" borderId="24" xfId="0" applyNumberFormat="1" applyFont="1" applyFill="1" applyBorder="1"/>
    <xf numFmtId="2" fontId="19" fillId="0" borderId="32" xfId="0" applyNumberFormat="1" applyFont="1" applyBorder="1"/>
    <xf numFmtId="2" fontId="19" fillId="0" borderId="30" xfId="0" applyNumberFormat="1" applyFont="1" applyBorder="1"/>
    <xf numFmtId="2" fontId="19" fillId="0" borderId="28" xfId="0" applyNumberFormat="1" applyFont="1" applyBorder="1"/>
    <xf numFmtId="2" fontId="19" fillId="0" borderId="29" xfId="0" applyNumberFormat="1" applyFont="1" applyBorder="1"/>
    <xf numFmtId="2" fontId="19" fillId="0" borderId="15" xfId="0" applyNumberFormat="1" applyFont="1" applyBorder="1"/>
    <xf numFmtId="2" fontId="19" fillId="0" borderId="31" xfId="0" applyNumberFormat="1" applyFont="1" applyFill="1" applyBorder="1"/>
    <xf numFmtId="2" fontId="16" fillId="0" borderId="24" xfId="0" applyNumberFormat="1" applyFont="1" applyBorder="1" applyAlignment="1">
      <alignment horizontal="center"/>
    </xf>
    <xf numFmtId="2" fontId="16" fillId="0" borderId="25" xfId="0" applyNumberFormat="1" applyFont="1" applyBorder="1" applyAlignment="1">
      <alignment horizontal="center"/>
    </xf>
    <xf numFmtId="2" fontId="16" fillId="0" borderId="31" xfId="0" applyNumberFormat="1" applyFont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0" fontId="2" fillId="0" borderId="35" xfId="0" applyFont="1" applyFill="1" applyBorder="1"/>
    <xf numFmtId="2" fontId="16" fillId="0" borderId="28" xfId="0" applyNumberFormat="1" applyFont="1" applyBorder="1" applyAlignment="1">
      <alignment horizontal="center"/>
    </xf>
    <xf numFmtId="2" fontId="16" fillId="0" borderId="30" xfId="0" applyNumberFormat="1" applyFont="1" applyBorder="1" applyAlignment="1">
      <alignment horizontal="center"/>
    </xf>
    <xf numFmtId="2" fontId="16" fillId="0" borderId="29" xfId="0" applyNumberFormat="1" applyFont="1" applyBorder="1" applyAlignment="1">
      <alignment horizontal="center"/>
    </xf>
    <xf numFmtId="2" fontId="16" fillId="0" borderId="32" xfId="0" applyNumberFormat="1" applyFont="1" applyBorder="1" applyAlignment="1">
      <alignment horizontal="center"/>
    </xf>
    <xf numFmtId="2" fontId="19" fillId="0" borderId="24" xfId="0" applyNumberFormat="1" applyFont="1" applyBorder="1" applyAlignment="1">
      <alignment horizontal="center"/>
    </xf>
    <xf numFmtId="2" fontId="19" fillId="0" borderId="25" xfId="0" applyNumberFormat="1" applyFont="1" applyBorder="1" applyAlignment="1">
      <alignment horizontal="center"/>
    </xf>
    <xf numFmtId="2" fontId="19" fillId="0" borderId="31" xfId="0" applyNumberFormat="1" applyFont="1" applyBorder="1" applyAlignment="1">
      <alignment horizontal="center"/>
    </xf>
    <xf numFmtId="2" fontId="19" fillId="0" borderId="27" xfId="0" applyNumberFormat="1" applyFont="1" applyBorder="1" applyAlignment="1">
      <alignment horizontal="center"/>
    </xf>
    <xf numFmtId="2" fontId="19" fillId="0" borderId="28" xfId="0" applyNumberFormat="1" applyFont="1" applyBorder="1" applyAlignment="1">
      <alignment horizontal="center"/>
    </xf>
    <xf numFmtId="2" fontId="19" fillId="0" borderId="30" xfId="0" applyNumberFormat="1" applyFont="1" applyBorder="1" applyAlignment="1">
      <alignment horizontal="center"/>
    </xf>
    <xf numFmtId="2" fontId="19" fillId="0" borderId="29" xfId="0" applyNumberFormat="1" applyFont="1" applyBorder="1" applyAlignment="1">
      <alignment horizontal="center"/>
    </xf>
    <xf numFmtId="2" fontId="19" fillId="0" borderId="3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19" fillId="0" borderId="40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19" fillId="0" borderId="39" xfId="0" applyNumberFormat="1" applyFont="1" applyBorder="1" applyAlignment="1">
      <alignment horizontal="center"/>
    </xf>
    <xf numFmtId="2" fontId="19" fillId="0" borderId="41" xfId="0" applyNumberFormat="1" applyFont="1" applyBorder="1" applyAlignment="1">
      <alignment horizontal="center"/>
    </xf>
    <xf numFmtId="2" fontId="19" fillId="0" borderId="42" xfId="0" applyNumberFormat="1" applyFont="1" applyFill="1" applyBorder="1" applyAlignment="1">
      <alignment horizontal="center"/>
    </xf>
    <xf numFmtId="2" fontId="19" fillId="0" borderId="43" xfId="0" applyNumberFormat="1" applyFont="1" applyFill="1" applyBorder="1" applyAlignment="1">
      <alignment horizontal="center"/>
    </xf>
    <xf numFmtId="2" fontId="19" fillId="0" borderId="44" xfId="0" applyNumberFormat="1" applyFont="1" applyFill="1" applyBorder="1" applyAlignment="1">
      <alignment horizontal="center"/>
    </xf>
    <xf numFmtId="2" fontId="19" fillId="0" borderId="40" xfId="0" applyNumberFormat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19" fillId="0" borderId="45" xfId="0" applyNumberFormat="1" applyFont="1" applyFill="1" applyBorder="1" applyAlignment="1">
      <alignment horizontal="center"/>
    </xf>
    <xf numFmtId="2" fontId="19" fillId="0" borderId="39" xfId="0" applyNumberFormat="1" applyFont="1" applyFill="1" applyBorder="1" applyAlignment="1">
      <alignment horizontal="center"/>
    </xf>
    <xf numFmtId="2" fontId="19" fillId="0" borderId="41" xfId="0" applyNumberFormat="1" applyFont="1" applyFill="1" applyBorder="1" applyAlignment="1">
      <alignment horizontal="center"/>
    </xf>
    <xf numFmtId="2" fontId="19" fillId="0" borderId="46" xfId="0" applyNumberFormat="1" applyFont="1" applyFill="1" applyBorder="1" applyAlignment="1">
      <alignment horizontal="center"/>
    </xf>
    <xf numFmtId="2" fontId="19" fillId="0" borderId="38" xfId="0" applyNumberFormat="1" applyFont="1" applyBorder="1"/>
    <xf numFmtId="2" fontId="19" fillId="0" borderId="36" xfId="0" applyNumberFormat="1" applyFont="1" applyBorder="1"/>
    <xf numFmtId="2" fontId="19" fillId="0" borderId="37" xfId="0" applyNumberFormat="1" applyFont="1" applyFill="1" applyBorder="1"/>
    <xf numFmtId="2" fontId="19" fillId="0" borderId="42" xfId="0" applyNumberFormat="1" applyFont="1" applyBorder="1" applyAlignment="1">
      <alignment horizontal="center"/>
    </xf>
    <xf numFmtId="2" fontId="19" fillId="0" borderId="43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 vertical="center" textRotation="90"/>
    </xf>
    <xf numFmtId="0" fontId="0" fillId="0" borderId="13" xfId="0" applyBorder="1" applyAlignment="1"/>
    <xf numFmtId="0" fontId="0" fillId="0" borderId="4" xfId="0" applyBorder="1" applyAlignment="1"/>
    <xf numFmtId="0" fontId="4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3" xfId="0" applyBorder="1" applyAlignment="1">
      <alignment horizontal="center" vertical="center" textRotation="90"/>
    </xf>
    <xf numFmtId="0" fontId="14" fillId="0" borderId="2" xfId="0" applyFont="1" applyBorder="1" applyAlignment="1"/>
    <xf numFmtId="0" fontId="0" fillId="0" borderId="7" xfId="0" applyBorder="1" applyAlignment="1"/>
    <xf numFmtId="14" fontId="1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8708</xdr:colOff>
      <xdr:row>0</xdr:row>
      <xdr:rowOff>91440</xdr:rowOff>
    </xdr:from>
    <xdr:to>
      <xdr:col>20</xdr:col>
      <xdr:colOff>196215</xdr:colOff>
      <xdr:row>27</xdr:row>
      <xdr:rowOff>29119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708" y="91440"/>
          <a:ext cx="3326947" cy="31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419099</xdr:colOff>
      <xdr:row>26</xdr:row>
      <xdr:rowOff>136072</xdr:rowOff>
    </xdr:from>
    <xdr:to>
      <xdr:col>3</xdr:col>
      <xdr:colOff>843686</xdr:colOff>
      <xdr:row>34</xdr:row>
      <xdr:rowOff>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3813" y="3766458"/>
          <a:ext cx="1676444" cy="1692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4354</xdr:colOff>
      <xdr:row>0</xdr:row>
      <xdr:rowOff>152400</xdr:rowOff>
    </xdr:from>
    <xdr:to>
      <xdr:col>20</xdr:col>
      <xdr:colOff>183151</xdr:colOff>
      <xdr:row>27</xdr:row>
      <xdr:rowOff>91984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8354" y="152400"/>
          <a:ext cx="3318237" cy="3109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397328</xdr:colOff>
      <xdr:row>26</xdr:row>
      <xdr:rowOff>152400</xdr:rowOff>
    </xdr:from>
    <xdr:to>
      <xdr:col>3</xdr:col>
      <xdr:colOff>843687</xdr:colOff>
      <xdr:row>34</xdr:row>
      <xdr:rowOff>43588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2042" y="3782786"/>
          <a:ext cx="1698216" cy="17199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15240</xdr:colOff>
      <xdr:row>1</xdr:row>
      <xdr:rowOff>0</xdr:rowOff>
    </xdr:from>
    <xdr:to>
      <xdr:col>22</xdr:col>
      <xdr:colOff>203835</xdr:colOff>
      <xdr:row>27</xdr:row>
      <xdr:rowOff>97699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F51A5D-30AF-4CA9-8D05-D394AC50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240" y="160020"/>
          <a:ext cx="3328035" cy="31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419099</xdr:colOff>
      <xdr:row>26</xdr:row>
      <xdr:rowOff>136072</xdr:rowOff>
    </xdr:from>
    <xdr:to>
      <xdr:col>3</xdr:col>
      <xdr:colOff>843686</xdr:colOff>
      <xdr:row>34</xdr:row>
      <xdr:rowOff>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7252D1-9A2C-4258-A9B5-4C1BB8A44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3813" y="5823858"/>
          <a:ext cx="1676444" cy="1692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11974</xdr:colOff>
      <xdr:row>1</xdr:row>
      <xdr:rowOff>0</xdr:rowOff>
    </xdr:from>
    <xdr:to>
      <xdr:col>22</xdr:col>
      <xdr:colOff>190771</xdr:colOff>
      <xdr:row>27</xdr:row>
      <xdr:rowOff>99604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225B1B-05DF-41B2-ABD1-2FF345FD6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5974" y="160020"/>
          <a:ext cx="3318237" cy="3109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397328</xdr:colOff>
      <xdr:row>26</xdr:row>
      <xdr:rowOff>152400</xdr:rowOff>
    </xdr:from>
    <xdr:to>
      <xdr:col>3</xdr:col>
      <xdr:colOff>843687</xdr:colOff>
      <xdr:row>34</xdr:row>
      <xdr:rowOff>43588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1DAF58-0DFA-4FE6-8C2A-FB3459F70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2042" y="5840186"/>
          <a:ext cx="1698216" cy="1719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0"/>
  <sheetViews>
    <sheetView tabSelected="1" workbookViewId="0">
      <selection activeCell="S33" sqref="S33"/>
    </sheetView>
  </sheetViews>
  <sheetFormatPr baseColWidth="10" defaultRowHeight="12.6" x14ac:dyDescent="0.25"/>
  <cols>
    <col min="1" max="1" width="1.6640625" customWidth="1"/>
    <col min="2" max="2" width="39.109375" bestFit="1" customWidth="1"/>
    <col min="3" max="4" width="17.6640625" customWidth="1"/>
    <col min="5" max="5" width="1.6640625" customWidth="1"/>
    <col min="6" max="7" width="10.77734375" hidden="1" customWidth="1"/>
    <col min="8" max="10" width="5.77734375" hidden="1" customWidth="1"/>
    <col min="11" max="16" width="7.77734375" hidden="1" customWidth="1"/>
    <col min="17" max="17" width="11.109375" customWidth="1"/>
  </cols>
  <sheetData>
    <row r="1" spans="2:16" ht="12.9" customHeight="1" x14ac:dyDescent="0.25">
      <c r="B1" s="26" t="s">
        <v>41</v>
      </c>
    </row>
    <row r="2" spans="2:16" ht="18" customHeight="1" x14ac:dyDescent="0.25">
      <c r="B2" s="169" t="s">
        <v>46</v>
      </c>
      <c r="C2" s="170"/>
      <c r="D2" s="170"/>
      <c r="E2" s="17"/>
      <c r="F2" s="17"/>
      <c r="G2" s="17"/>
      <c r="H2" s="16"/>
      <c r="I2" s="16"/>
    </row>
    <row r="3" spans="2:16" ht="18" customHeight="1" x14ac:dyDescent="0.25">
      <c r="B3" s="20" t="s">
        <v>29</v>
      </c>
      <c r="C3" s="18"/>
      <c r="D3" s="18"/>
      <c r="E3" s="17"/>
      <c r="F3" s="17"/>
      <c r="G3" s="17"/>
      <c r="H3" s="16"/>
      <c r="I3" s="16"/>
    </row>
    <row r="4" spans="2:16" ht="18" customHeight="1" x14ac:dyDescent="0.25">
      <c r="B4" s="20" t="s">
        <v>26</v>
      </c>
      <c r="C4" s="18"/>
      <c r="D4" s="18"/>
      <c r="E4" s="17"/>
      <c r="F4" s="17"/>
      <c r="G4" s="17"/>
      <c r="H4" s="16"/>
      <c r="I4" s="16"/>
    </row>
    <row r="5" spans="2:16" ht="3" customHeight="1" thickBot="1" x14ac:dyDescent="0.3"/>
    <row r="6" spans="2:16" ht="18" hidden="1" customHeight="1" x14ac:dyDescent="0.3">
      <c r="B6" s="2" t="s">
        <v>6</v>
      </c>
    </row>
    <row r="7" spans="2:16" ht="18" hidden="1" customHeight="1" x14ac:dyDescent="0.25">
      <c r="B7" s="11" t="s">
        <v>2</v>
      </c>
      <c r="C7" s="7" t="s">
        <v>3</v>
      </c>
    </row>
    <row r="8" spans="2:16" ht="18" hidden="1" customHeight="1" x14ac:dyDescent="0.25">
      <c r="B8" s="4" t="s">
        <v>22</v>
      </c>
      <c r="C8" s="8" t="s">
        <v>24</v>
      </c>
      <c r="D8" s="23">
        <v>2.2549999999999999</v>
      </c>
      <c r="F8" s="13"/>
      <c r="G8" s="14"/>
      <c r="H8" s="14"/>
      <c r="I8" s="14"/>
    </row>
    <row r="9" spans="2:16" ht="18" hidden="1" customHeight="1" x14ac:dyDescent="0.25">
      <c r="B9" s="4" t="s">
        <v>19</v>
      </c>
      <c r="C9" s="8" t="s">
        <v>24</v>
      </c>
      <c r="D9" s="23">
        <v>6.3109999999999999</v>
      </c>
      <c r="F9" s="15"/>
      <c r="G9" s="13"/>
      <c r="H9" s="13"/>
      <c r="I9" s="13"/>
    </row>
    <row r="10" spans="2:16" ht="18" hidden="1" customHeight="1" x14ac:dyDescent="0.25">
      <c r="B10" s="4" t="s">
        <v>23</v>
      </c>
      <c r="C10" s="8" t="s">
        <v>10</v>
      </c>
      <c r="D10" s="24">
        <v>187.18</v>
      </c>
    </row>
    <row r="11" spans="2:16" ht="18" hidden="1" customHeight="1" x14ac:dyDescent="0.25">
      <c r="B11" s="4" t="s">
        <v>9</v>
      </c>
      <c r="C11" s="8" t="s">
        <v>10</v>
      </c>
      <c r="D11" s="24">
        <v>86.424999999999997</v>
      </c>
    </row>
    <row r="12" spans="2:16" ht="18" hidden="1" customHeight="1" x14ac:dyDescent="0.25">
      <c r="B12" s="6" t="s">
        <v>7</v>
      </c>
      <c r="C12" s="5" t="s">
        <v>16</v>
      </c>
      <c r="D12" s="25">
        <v>7000</v>
      </c>
    </row>
    <row r="13" spans="2:16" ht="18" hidden="1" customHeight="1" x14ac:dyDescent="0.25">
      <c r="B13" s="6" t="s">
        <v>8</v>
      </c>
      <c r="C13" s="5" t="s">
        <v>16</v>
      </c>
      <c r="D13" s="25">
        <v>21000</v>
      </c>
    </row>
    <row r="14" spans="2:16" ht="18" hidden="1" customHeight="1" x14ac:dyDescent="0.25">
      <c r="B14" s="6" t="s">
        <v>12</v>
      </c>
      <c r="C14" s="3" t="s">
        <v>11</v>
      </c>
      <c r="D14" s="25">
        <v>1.2999999999999999E-2</v>
      </c>
    </row>
    <row r="15" spans="2:16" ht="18" hidden="1" customHeight="1" thickBot="1" x14ac:dyDescent="0.3">
      <c r="F15" s="28" t="s">
        <v>30</v>
      </c>
      <c r="G15" s="28" t="s">
        <v>31</v>
      </c>
      <c r="I15" s="34" t="s">
        <v>37</v>
      </c>
    </row>
    <row r="16" spans="2:16" ht="18" customHeight="1" x14ac:dyDescent="0.3">
      <c r="B16" s="2" t="s">
        <v>0</v>
      </c>
      <c r="F16" s="31">
        <v>5</v>
      </c>
      <c r="G16" s="29">
        <v>0.8</v>
      </c>
      <c r="I16" s="171" t="s">
        <v>33</v>
      </c>
      <c r="J16" s="172"/>
      <c r="K16" s="73">
        <v>0.6</v>
      </c>
      <c r="L16" s="74">
        <v>0.6</v>
      </c>
      <c r="M16" s="73">
        <v>0.7</v>
      </c>
      <c r="N16" s="57">
        <v>0.7</v>
      </c>
      <c r="O16" s="75">
        <v>0.8</v>
      </c>
      <c r="P16" s="57">
        <v>0.8</v>
      </c>
    </row>
    <row r="17" spans="2:16" ht="18" customHeight="1" x14ac:dyDescent="0.25">
      <c r="B17" s="9" t="s">
        <v>2</v>
      </c>
      <c r="C17" s="12" t="s">
        <v>3</v>
      </c>
      <c r="D17" s="48" t="s">
        <v>25</v>
      </c>
      <c r="F17" s="32">
        <v>10</v>
      </c>
      <c r="G17" s="30">
        <v>0.8</v>
      </c>
      <c r="I17" s="171" t="s">
        <v>30</v>
      </c>
      <c r="J17" s="172"/>
      <c r="K17" s="58">
        <v>5</v>
      </c>
      <c r="L17" s="39">
        <v>20</v>
      </c>
      <c r="M17" s="58">
        <v>5</v>
      </c>
      <c r="N17" s="59">
        <v>20</v>
      </c>
      <c r="O17" s="40">
        <v>5</v>
      </c>
      <c r="P17" s="59">
        <v>20</v>
      </c>
    </row>
    <row r="18" spans="2:16" ht="18" customHeight="1" x14ac:dyDescent="0.25">
      <c r="B18" s="4" t="s">
        <v>20</v>
      </c>
      <c r="C18" s="5" t="s">
        <v>4</v>
      </c>
      <c r="D18" s="44">
        <v>20</v>
      </c>
      <c r="F18" s="32">
        <v>15</v>
      </c>
      <c r="G18" s="30">
        <v>0.8</v>
      </c>
      <c r="H18" s="19"/>
      <c r="I18" s="166" t="s">
        <v>34</v>
      </c>
      <c r="J18" s="53">
        <v>45</v>
      </c>
      <c r="K18" s="76">
        <f>0.88*((($D$10*$D$12*10000/($D$21*$D$14*((K$16*(((VLOOKUP(K$17,$F$16:$G$22,2))*$J18))+((K$16-0.022)*($D$18/COS(K$17*PI()/180))))+($D$8/COS(K$17*PI()/180)))))^(1/3))/100)</f>
        <v>4.5919739781702305</v>
      </c>
      <c r="L18" s="77">
        <f t="shared" ref="L18:P18" si="0">0.88*((($D$10*$D$12*10000/($D$21*$D$14*((L$16*(((VLOOKUP(L$17,$F$16:$G$22,2))*$J18))+((L$16-0.022)*($D$18/COS(L$17*PI()/180))))+($D$8/COS(L$17*PI()/180)))))^(1/3))/100)</f>
        <v>4.5565422119011414</v>
      </c>
      <c r="M18" s="76">
        <f t="shared" si="0"/>
        <v>4.3727039907519689</v>
      </c>
      <c r="N18" s="78">
        <f t="shared" si="0"/>
        <v>4.3393467180545171</v>
      </c>
      <c r="O18" s="79">
        <f t="shared" si="0"/>
        <v>4.1900992328992794</v>
      </c>
      <c r="P18" s="78">
        <f t="shared" si="0"/>
        <v>4.1584135966037215</v>
      </c>
    </row>
    <row r="19" spans="2:16" ht="18" customHeight="1" x14ac:dyDescent="0.25">
      <c r="B19" s="4" t="s">
        <v>21</v>
      </c>
      <c r="C19" s="5" t="s">
        <v>4</v>
      </c>
      <c r="D19" s="45">
        <v>45</v>
      </c>
      <c r="F19" s="32">
        <v>20</v>
      </c>
      <c r="G19" s="30">
        <v>0.8</v>
      </c>
      <c r="I19" s="173"/>
      <c r="J19" s="54">
        <v>55</v>
      </c>
      <c r="K19" s="80">
        <f t="shared" ref="K19:P22" si="1">0.88*((($D$10*$D$12*10000/($D$21*$D$14*((K$16*(((VLOOKUP(K$17,$F$16:$G$22,2))*$J19))+((K$16-0.022)*($D$18/COS(K$17*PI()/180))))+($D$8/COS(K$17*PI()/180)))))^(1/3))/100)</f>
        <v>4.401744736262299</v>
      </c>
      <c r="L19" s="81">
        <f t="shared" si="1"/>
        <v>4.3717744901815001</v>
      </c>
      <c r="M19" s="80">
        <f t="shared" si="1"/>
        <v>4.1903278275696758</v>
      </c>
      <c r="N19" s="82">
        <f t="shared" si="1"/>
        <v>4.1621456773369161</v>
      </c>
      <c r="O19" s="83">
        <f t="shared" si="1"/>
        <v>4.0144442087374355</v>
      </c>
      <c r="P19" s="82">
        <f t="shared" si="1"/>
        <v>3.9876983968966178</v>
      </c>
    </row>
    <row r="20" spans="2:16" ht="18" customHeight="1" x14ac:dyDescent="0.25">
      <c r="B20" s="4" t="s">
        <v>1</v>
      </c>
      <c r="C20" s="5" t="s">
        <v>5</v>
      </c>
      <c r="D20" s="46">
        <v>0.7</v>
      </c>
      <c r="F20" s="42">
        <v>25</v>
      </c>
      <c r="G20" s="43">
        <v>0.8</v>
      </c>
      <c r="I20" s="173"/>
      <c r="J20" s="54">
        <v>65</v>
      </c>
      <c r="K20" s="80">
        <f t="shared" si="1"/>
        <v>4.2395720857105612</v>
      </c>
      <c r="L20" s="81">
        <f t="shared" si="1"/>
        <v>4.2137431438133106</v>
      </c>
      <c r="M20" s="80">
        <f t="shared" si="1"/>
        <v>4.0350126371766182</v>
      </c>
      <c r="N20" s="82">
        <f t="shared" si="1"/>
        <v>4.0107473572289294</v>
      </c>
      <c r="O20" s="83">
        <f t="shared" si="1"/>
        <v>3.8649715952696377</v>
      </c>
      <c r="P20" s="82">
        <f t="shared" si="1"/>
        <v>3.8419593091516209</v>
      </c>
    </row>
    <row r="21" spans="2:16" ht="18" hidden="1" customHeight="1" x14ac:dyDescent="0.25">
      <c r="B21" s="4" t="s">
        <v>18</v>
      </c>
      <c r="C21" s="4"/>
      <c r="D21" s="47">
        <v>200</v>
      </c>
      <c r="F21" s="42">
        <v>30</v>
      </c>
      <c r="G21" s="43">
        <f>0.8*(60-$F21)/30</f>
        <v>0.8</v>
      </c>
      <c r="I21" s="173"/>
      <c r="J21" s="54">
        <v>90</v>
      </c>
      <c r="K21" s="80">
        <f t="shared" si="1"/>
        <v>3.9187456888038423</v>
      </c>
      <c r="L21" s="81">
        <f t="shared" si="1"/>
        <v>3.899843289058742</v>
      </c>
      <c r="M21" s="80">
        <f t="shared" si="1"/>
        <v>3.7281488287378921</v>
      </c>
      <c r="N21" s="82">
        <f t="shared" si="1"/>
        <v>3.7104200220178694</v>
      </c>
      <c r="O21" s="83">
        <f t="shared" si="1"/>
        <v>3.5699398849562125</v>
      </c>
      <c r="P21" s="82">
        <f t="shared" si="1"/>
        <v>3.5531475202154472</v>
      </c>
    </row>
    <row r="22" spans="2:16" ht="18" customHeight="1" thickBot="1" x14ac:dyDescent="0.3">
      <c r="B22" s="41" t="s">
        <v>36</v>
      </c>
      <c r="C22" s="37" t="s">
        <v>35</v>
      </c>
      <c r="D22" s="45">
        <v>10</v>
      </c>
      <c r="F22" s="28" t="s">
        <v>32</v>
      </c>
      <c r="G22" s="33">
        <f>VLOOKUP($D$22,F16:G21,2)</f>
        <v>0.8</v>
      </c>
      <c r="I22" s="168"/>
      <c r="J22" s="96">
        <v>140</v>
      </c>
      <c r="K22" s="130">
        <f t="shared" si="1"/>
        <v>3.4860047379156138</v>
      </c>
      <c r="L22" s="132">
        <f t="shared" si="1"/>
        <v>3.4741339584186686</v>
      </c>
      <c r="M22" s="130">
        <f t="shared" si="1"/>
        <v>3.314957051627379</v>
      </c>
      <c r="N22" s="131">
        <f t="shared" si="1"/>
        <v>3.3038437438915107</v>
      </c>
      <c r="O22" s="133">
        <f t="shared" si="1"/>
        <v>3.1731995889555966</v>
      </c>
      <c r="P22" s="131">
        <f t="shared" si="1"/>
        <v>3.1626878963814429</v>
      </c>
    </row>
    <row r="23" spans="2:16" ht="18" customHeight="1" thickBot="1" x14ac:dyDescent="0.3">
      <c r="F23" s="27"/>
      <c r="G23" s="36"/>
      <c r="I23" s="34" t="s">
        <v>38</v>
      </c>
    </row>
    <row r="24" spans="2:16" ht="18" customHeight="1" x14ac:dyDescent="0.3">
      <c r="B24" s="2" t="s">
        <v>17</v>
      </c>
      <c r="C24" s="21" t="s">
        <v>14</v>
      </c>
      <c r="D24" s="22" t="s">
        <v>15</v>
      </c>
      <c r="F24" s="27"/>
      <c r="G24" s="36"/>
      <c r="I24" s="166" t="s">
        <v>34</v>
      </c>
      <c r="J24" s="53">
        <v>45</v>
      </c>
      <c r="K24" s="88">
        <f>0.89*((((($D$10*$D$12)+($D$11*$D$13))*10000/($D$21*$D$14*((K$16*(((VLOOKUP(K$17,$F$16:$G$22,2))*$J24))+((K$16-0.022)*($D$18/COS(K$17*PI()/180))))+(($D$8+$D$9)/COS(K$17*PI()/180)))))^(1/3))/100)</f>
        <v>5.8742903222758533</v>
      </c>
      <c r="L24" s="89">
        <f t="shared" ref="L24:P24" si="2">0.89*((((($D$10*$D$12)+($D$11*$D$13))*10000/($D$21*$D$14*((L$16*(((VLOOKUP(L$17,$F$16:$G$22,2))*$J24))+((L$16-0.022)*($D$18/COS(L$17*PI()/180))))+(($D$8+$D$9)/COS(L$17*PI()/180)))))^(1/3))/100)</f>
        <v>5.8184673443631949</v>
      </c>
      <c r="M24" s="88">
        <f t="shared" si="2"/>
        <v>5.6329068363020305</v>
      </c>
      <c r="N24" s="90">
        <f t="shared" si="2"/>
        <v>5.580988754049951</v>
      </c>
      <c r="O24" s="91">
        <f t="shared" si="2"/>
        <v>5.4268679935007338</v>
      </c>
      <c r="P24" s="90">
        <f t="shared" si="2"/>
        <v>5.3780740079720317</v>
      </c>
    </row>
    <row r="25" spans="2:16" ht="18" hidden="1" customHeight="1" x14ac:dyDescent="0.3">
      <c r="B25" s="10" t="s">
        <v>13</v>
      </c>
      <c r="C25" s="35">
        <f>(D20*((VLOOKUP(D22,F16:G21,2))*D19)+((D20-0.022)*(D18)/COS($D$22*PI()/180)))+(D8/COS($D$22*PI()/180))</f>
        <v>41.258971866973056</v>
      </c>
      <c r="D25" s="35">
        <f>D20*((VLOOKUP(D22,F16:G24,2))*D19)+((D20-0.022)*(D18)/COS($D$22*PI()/180))+((D8+D9)/COS($D$22*PI()/180))</f>
        <v>47.667329214583994</v>
      </c>
      <c r="I25" s="167"/>
      <c r="J25" s="54">
        <v>55</v>
      </c>
      <c r="K25" s="92">
        <f t="shared" ref="K25:P28" si="3">0.89*((((($D$10*$D$12)+($D$11*$D$13))*10000/($D$21*$D$14*((K$16*(((VLOOKUP(K$17,$F$16:$G$22,2))*$J25))+((K$16-0.022)*($D$18/COS(K$17*PI()/180))))+(($D$8+$D$9)/COS(K$17*PI()/180)))))^(1/3))/100)</f>
        <v>5.6652605510765861</v>
      </c>
      <c r="L25" s="93">
        <f t="shared" si="3"/>
        <v>5.6168748756503089</v>
      </c>
      <c r="M25" s="92">
        <f t="shared" si="3"/>
        <v>5.4271286808667165</v>
      </c>
      <c r="N25" s="94">
        <f t="shared" si="3"/>
        <v>5.382304695944014</v>
      </c>
      <c r="O25" s="95">
        <f t="shared" si="3"/>
        <v>5.2245762805881855</v>
      </c>
      <c r="P25" s="94">
        <f t="shared" si="3"/>
        <v>5.1825800039586944</v>
      </c>
    </row>
    <row r="26" spans="2:16" ht="18" customHeight="1" x14ac:dyDescent="0.3">
      <c r="B26" s="10" t="s">
        <v>50</v>
      </c>
      <c r="C26" s="50">
        <f>0.88*(((D10*D12*10000/(D21*D14*C25))^(1/3))/100)</f>
        <v>4.3662096311027447</v>
      </c>
      <c r="D26" s="50">
        <f>0.89*(((((D10*D12)+(D11*D13))*10000/(D21*D14*D25))^(1/3))/100)</f>
        <v>5.6227727052870859</v>
      </c>
      <c r="I26" s="167"/>
      <c r="J26" s="54">
        <v>65</v>
      </c>
      <c r="K26" s="92">
        <f t="shared" si="3"/>
        <v>5.4831272185158113</v>
      </c>
      <c r="L26" s="93">
        <f t="shared" si="3"/>
        <v>5.4406026351180845</v>
      </c>
      <c r="M26" s="92">
        <f t="shared" si="3"/>
        <v>5.2484647149570849</v>
      </c>
      <c r="N26" s="94">
        <f t="shared" si="3"/>
        <v>5.2091964695172841</v>
      </c>
      <c r="O26" s="95">
        <f t="shared" si="3"/>
        <v>5.0494285089480453</v>
      </c>
      <c r="P26" s="94">
        <f t="shared" si="3"/>
        <v>5.0127297503710961</v>
      </c>
    </row>
    <row r="27" spans="2:16" ht="18" customHeight="1" x14ac:dyDescent="0.25">
      <c r="I27" s="167"/>
      <c r="J27" s="54">
        <v>90</v>
      </c>
      <c r="K27" s="92">
        <f t="shared" si="3"/>
        <v>5.1127490529498454</v>
      </c>
      <c r="L27" s="93">
        <f t="shared" si="3"/>
        <v>5.0805075303986822</v>
      </c>
      <c r="M27" s="92">
        <f t="shared" si="3"/>
        <v>4.8867969023954121</v>
      </c>
      <c r="N27" s="94">
        <f t="shared" si="3"/>
        <v>4.8571991535146761</v>
      </c>
      <c r="O27" s="95">
        <f t="shared" si="3"/>
        <v>4.696138565274552</v>
      </c>
      <c r="P27" s="94">
        <f t="shared" si="3"/>
        <v>4.6686040821246548</v>
      </c>
    </row>
    <row r="28" spans="2:16" ht="18" customHeight="1" thickBot="1" x14ac:dyDescent="0.3">
      <c r="I28" s="168"/>
      <c r="J28" s="96">
        <v>140</v>
      </c>
      <c r="K28" s="84">
        <f t="shared" si="3"/>
        <v>4.5939072558225025</v>
      </c>
      <c r="L28" s="85">
        <f t="shared" si="3"/>
        <v>4.5728196289907359</v>
      </c>
      <c r="M28" s="84">
        <f t="shared" si="3"/>
        <v>4.383385564851646</v>
      </c>
      <c r="N28" s="86">
        <f t="shared" si="3"/>
        <v>4.3641607726302771</v>
      </c>
      <c r="O28" s="87">
        <f t="shared" si="3"/>
        <v>4.2068169734848651</v>
      </c>
      <c r="P28" s="86">
        <f t="shared" si="3"/>
        <v>4.1890277436182073</v>
      </c>
    </row>
    <row r="29" spans="2:16" ht="18" customHeight="1" x14ac:dyDescent="0.25"/>
    <row r="30" spans="2:16" ht="18" customHeight="1" x14ac:dyDescent="0.25"/>
    <row r="31" spans="2:16" ht="18" customHeight="1" x14ac:dyDescent="0.25"/>
    <row r="32" spans="2:16" ht="18" customHeight="1" x14ac:dyDescent="0.25"/>
    <row r="33" spans="4:4" ht="18" customHeight="1" x14ac:dyDescent="0.25"/>
    <row r="34" spans="4:4" ht="18" customHeight="1" x14ac:dyDescent="0.25"/>
    <row r="35" spans="4:4" ht="18" customHeight="1" x14ac:dyDescent="0.25"/>
    <row r="36" spans="4:4" ht="18" customHeight="1" x14ac:dyDescent="0.25"/>
    <row r="37" spans="4:4" ht="18" customHeight="1" x14ac:dyDescent="0.3">
      <c r="D37" s="1"/>
    </row>
    <row r="38" spans="4:4" ht="18" customHeight="1" x14ac:dyDescent="0.25"/>
    <row r="39" spans="4:4" ht="18" customHeight="1" x14ac:dyDescent="0.25"/>
    <row r="40" spans="4:4" ht="18" customHeight="1" x14ac:dyDescent="0.25"/>
    <row r="41" spans="4:4" ht="18" customHeight="1" x14ac:dyDescent="0.25"/>
    <row r="42" spans="4:4" ht="18" customHeight="1" x14ac:dyDescent="0.25"/>
    <row r="43" spans="4:4" ht="18" customHeight="1" x14ac:dyDescent="0.25"/>
    <row r="44" spans="4:4" ht="18" customHeight="1" x14ac:dyDescent="0.25"/>
    <row r="45" spans="4:4" ht="20.100000000000001" customHeight="1" x14ac:dyDescent="0.25"/>
    <row r="46" spans="4:4" ht="20.100000000000001" customHeight="1" x14ac:dyDescent="0.25"/>
    <row r="47" spans="4:4" ht="20.100000000000001" customHeight="1" x14ac:dyDescent="0.25"/>
    <row r="48" spans="4:4" ht="20.100000000000001" customHeight="1" x14ac:dyDescent="0.25"/>
    <row r="49" ht="20.100000000000001" customHeight="1" x14ac:dyDescent="0.25"/>
    <row r="50" ht="20.100000000000001" customHeight="1" x14ac:dyDescent="0.25"/>
  </sheetData>
  <sheetProtection algorithmName="SHA-512" hashValue="rljPZybctZN9XAXEJQUHbOEPlsRhMED4O8cEZrqNsctPuWMNzF2DPjW0rg5q+36rtc6OsDIaxtRMLXvi0nR2JA==" saltValue="xNIjCtvU9oz41eRCHWQ5fA==" spinCount="100000" sheet="1" objects="1" scenarios="1"/>
  <mergeCells count="5">
    <mergeCell ref="I24:I28"/>
    <mergeCell ref="B2:D2"/>
    <mergeCell ref="I16:J16"/>
    <mergeCell ref="I17:J17"/>
    <mergeCell ref="I18:I22"/>
  </mergeCells>
  <phoneticPr fontId="0" type="noConversion"/>
  <pageMargins left="0.39370078740157483" right="0" top="0.39370078740157483" bottom="0" header="0" footer="0"/>
  <pageSetup paperSize="9" scale="71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50"/>
  <sheetViews>
    <sheetView workbookViewId="0">
      <selection activeCell="R30" sqref="R30"/>
    </sheetView>
  </sheetViews>
  <sheetFormatPr baseColWidth="10" defaultRowHeight="12.6" x14ac:dyDescent="0.25"/>
  <cols>
    <col min="1" max="1" width="1.6640625" customWidth="1"/>
    <col min="2" max="2" width="39.109375" bestFit="1" customWidth="1"/>
    <col min="3" max="4" width="17.6640625" customWidth="1"/>
    <col min="5" max="5" width="1.6640625" customWidth="1"/>
    <col min="6" max="7" width="10.77734375" hidden="1" customWidth="1"/>
    <col min="8" max="10" width="5.77734375" hidden="1" customWidth="1"/>
    <col min="11" max="16" width="7.77734375" hidden="1" customWidth="1"/>
    <col min="17" max="17" width="11.109375" customWidth="1"/>
  </cols>
  <sheetData>
    <row r="1" spans="2:16" ht="12.9" customHeight="1" x14ac:dyDescent="0.25">
      <c r="B1" s="176" t="s">
        <v>51</v>
      </c>
    </row>
    <row r="2" spans="2:16" ht="18" customHeight="1" x14ac:dyDescent="0.25">
      <c r="B2" s="169" t="s">
        <v>47</v>
      </c>
      <c r="C2" s="170"/>
      <c r="D2" s="170"/>
      <c r="E2" s="17"/>
      <c r="F2" s="17"/>
      <c r="G2" s="17"/>
      <c r="H2" s="16"/>
      <c r="I2" s="16"/>
    </row>
    <row r="3" spans="2:16" ht="18" customHeight="1" x14ac:dyDescent="0.25">
      <c r="B3" s="20" t="s">
        <v>29</v>
      </c>
      <c r="C3" s="18"/>
      <c r="D3" s="18"/>
      <c r="E3" s="17"/>
      <c r="F3" s="17"/>
      <c r="G3" s="17"/>
      <c r="H3" s="16"/>
      <c r="I3" s="16"/>
    </row>
    <row r="4" spans="2:16" ht="18" customHeight="1" x14ac:dyDescent="0.25">
      <c r="B4" s="20" t="s">
        <v>28</v>
      </c>
      <c r="C4" s="18"/>
      <c r="D4" s="18"/>
      <c r="E4" s="17"/>
      <c r="F4" s="17"/>
      <c r="G4" s="17"/>
      <c r="H4" s="16"/>
      <c r="I4" s="16"/>
    </row>
    <row r="5" spans="2:16" ht="3" customHeight="1" thickBot="1" x14ac:dyDescent="0.3"/>
    <row r="6" spans="2:16" ht="18" hidden="1" customHeight="1" x14ac:dyDescent="0.3">
      <c r="B6" s="2" t="s">
        <v>6</v>
      </c>
    </row>
    <row r="7" spans="2:16" ht="18" hidden="1" customHeight="1" x14ac:dyDescent="0.25">
      <c r="B7" s="11" t="s">
        <v>2</v>
      </c>
      <c r="C7" s="7" t="s">
        <v>3</v>
      </c>
    </row>
    <row r="8" spans="2:16" ht="18" hidden="1" customHeight="1" x14ac:dyDescent="0.25">
      <c r="B8" s="4" t="s">
        <v>22</v>
      </c>
      <c r="C8" s="8" t="s">
        <v>24</v>
      </c>
      <c r="D8" s="23">
        <v>2.2549999999999999</v>
      </c>
      <c r="F8" s="13"/>
      <c r="G8" s="14"/>
      <c r="H8" s="14"/>
      <c r="I8" s="14"/>
    </row>
    <row r="9" spans="2:16" ht="18" hidden="1" customHeight="1" x14ac:dyDescent="0.25">
      <c r="B9" s="4" t="s">
        <v>19</v>
      </c>
      <c r="C9" s="8" t="s">
        <v>24</v>
      </c>
      <c r="D9" s="23">
        <v>7.85</v>
      </c>
      <c r="F9" s="15"/>
      <c r="G9" s="13"/>
      <c r="H9" s="13"/>
      <c r="I9" s="13"/>
    </row>
    <row r="10" spans="2:16" ht="18" hidden="1" customHeight="1" x14ac:dyDescent="0.25">
      <c r="B10" s="4" t="s">
        <v>23</v>
      </c>
      <c r="C10" s="8" t="s">
        <v>10</v>
      </c>
      <c r="D10" s="24">
        <v>187.18</v>
      </c>
    </row>
    <row r="11" spans="2:16" ht="18" hidden="1" customHeight="1" x14ac:dyDescent="0.25">
      <c r="B11" s="4" t="s">
        <v>9</v>
      </c>
      <c r="C11" s="8" t="s">
        <v>10</v>
      </c>
      <c r="D11" s="24">
        <v>83.33</v>
      </c>
    </row>
    <row r="12" spans="2:16" ht="18" hidden="1" customHeight="1" x14ac:dyDescent="0.25">
      <c r="B12" s="6" t="s">
        <v>7</v>
      </c>
      <c r="C12" s="5" t="s">
        <v>16</v>
      </c>
      <c r="D12" s="25">
        <v>7000</v>
      </c>
    </row>
    <row r="13" spans="2:16" ht="18" hidden="1" customHeight="1" x14ac:dyDescent="0.25">
      <c r="B13" s="6" t="s">
        <v>8</v>
      </c>
      <c r="C13" s="5" t="s">
        <v>16</v>
      </c>
      <c r="D13" s="25">
        <v>21000</v>
      </c>
    </row>
    <row r="14" spans="2:16" ht="18" hidden="1" customHeight="1" x14ac:dyDescent="0.25">
      <c r="B14" s="6" t="s">
        <v>12</v>
      </c>
      <c r="C14" s="3" t="s">
        <v>11</v>
      </c>
      <c r="D14" s="25">
        <v>1.2999999999999999E-2</v>
      </c>
    </row>
    <row r="15" spans="2:16" ht="18" hidden="1" customHeight="1" thickBot="1" x14ac:dyDescent="0.3">
      <c r="F15" s="28" t="s">
        <v>30</v>
      </c>
      <c r="G15" s="28" t="s">
        <v>31</v>
      </c>
      <c r="I15" s="34" t="s">
        <v>37</v>
      </c>
    </row>
    <row r="16" spans="2:16" ht="18" customHeight="1" x14ac:dyDescent="0.3">
      <c r="B16" s="2" t="s">
        <v>0</v>
      </c>
      <c r="F16" s="31">
        <v>5</v>
      </c>
      <c r="G16" s="29">
        <v>0.8</v>
      </c>
      <c r="I16" s="174" t="s">
        <v>33</v>
      </c>
      <c r="J16" s="175"/>
      <c r="K16" s="56">
        <v>0.6</v>
      </c>
      <c r="L16" s="74">
        <v>0.6</v>
      </c>
      <c r="M16" s="56">
        <v>0.7</v>
      </c>
      <c r="N16" s="57">
        <v>0.7</v>
      </c>
      <c r="O16" s="64">
        <v>0.8</v>
      </c>
      <c r="P16" s="57">
        <v>0.8</v>
      </c>
    </row>
    <row r="17" spans="2:16" ht="18" customHeight="1" x14ac:dyDescent="0.25">
      <c r="B17" s="9" t="s">
        <v>2</v>
      </c>
      <c r="C17" s="12" t="s">
        <v>3</v>
      </c>
      <c r="D17" s="48" t="s">
        <v>25</v>
      </c>
      <c r="F17" s="32">
        <v>10</v>
      </c>
      <c r="G17" s="30">
        <v>0.8</v>
      </c>
      <c r="I17" s="174" t="s">
        <v>30</v>
      </c>
      <c r="J17" s="175"/>
      <c r="K17" s="58">
        <v>5</v>
      </c>
      <c r="L17" s="39">
        <v>20</v>
      </c>
      <c r="M17" s="58">
        <v>5</v>
      </c>
      <c r="N17" s="59">
        <v>20</v>
      </c>
      <c r="O17" s="40">
        <v>5</v>
      </c>
      <c r="P17" s="59">
        <v>20</v>
      </c>
    </row>
    <row r="18" spans="2:16" ht="18" customHeight="1" x14ac:dyDescent="0.25">
      <c r="B18" s="4" t="s">
        <v>20</v>
      </c>
      <c r="C18" s="5" t="s">
        <v>4</v>
      </c>
      <c r="D18" s="44">
        <v>20</v>
      </c>
      <c r="F18" s="32">
        <v>15</v>
      </c>
      <c r="G18" s="30">
        <v>0.8</v>
      </c>
      <c r="H18" s="19"/>
      <c r="I18" s="166" t="s">
        <v>34</v>
      </c>
      <c r="J18" s="53">
        <v>45</v>
      </c>
      <c r="K18" s="76">
        <f>0.88*((($D$10*$D$12*10000/($D$21*$D$14*((K$16*(((VLOOKUP(K$17,$F$16:$G$22,2))*$J18))+((K$16-0.022)*($D$18/COS(K$17*PI()/180))))+($D$8/COS(K$17*PI()/180)))))^(1/3))/100)</f>
        <v>4.5919739781702305</v>
      </c>
      <c r="L18" s="77">
        <f t="shared" ref="L18:P18" si="0">0.88*((($D$10*$D$12*10000/($D$21*$D$14*((L$16*(((VLOOKUP(L$17,$F$16:$G$22,2))*$J18))+((L$16-0.022)*($D$18/COS(L$17*PI()/180))))+($D$8/COS(L$17*PI()/180)))))^(1/3))/100)</f>
        <v>4.5565422119011414</v>
      </c>
      <c r="M18" s="76">
        <f t="shared" si="0"/>
        <v>4.3727039907519689</v>
      </c>
      <c r="N18" s="78">
        <f t="shared" si="0"/>
        <v>4.3393467180545171</v>
      </c>
      <c r="O18" s="79">
        <f t="shared" si="0"/>
        <v>4.1900992328992794</v>
      </c>
      <c r="P18" s="78">
        <f t="shared" si="0"/>
        <v>4.1584135966037215</v>
      </c>
    </row>
    <row r="19" spans="2:16" ht="18" customHeight="1" x14ac:dyDescent="0.25">
      <c r="B19" s="4" t="s">
        <v>21</v>
      </c>
      <c r="C19" s="5" t="s">
        <v>4</v>
      </c>
      <c r="D19" s="45">
        <v>45</v>
      </c>
      <c r="F19" s="32">
        <v>20</v>
      </c>
      <c r="G19" s="30">
        <v>0.8</v>
      </c>
      <c r="I19" s="173"/>
      <c r="J19" s="54">
        <v>55</v>
      </c>
      <c r="K19" s="80">
        <f t="shared" ref="K19:P22" si="1">0.88*((($D$10*$D$12*10000/($D$21*$D$14*((K$16*(((VLOOKUP(K$17,$F$16:$G$22,2))*$J19))+((K$16-0.022)*($D$18/COS(K$17*PI()/180))))+($D$8/COS(K$17*PI()/180)))))^(1/3))/100)</f>
        <v>4.401744736262299</v>
      </c>
      <c r="L19" s="81">
        <f t="shared" si="1"/>
        <v>4.3717744901815001</v>
      </c>
      <c r="M19" s="80">
        <f t="shared" si="1"/>
        <v>4.1903278275696758</v>
      </c>
      <c r="N19" s="82">
        <f t="shared" si="1"/>
        <v>4.1621456773369161</v>
      </c>
      <c r="O19" s="83">
        <f t="shared" si="1"/>
        <v>4.0144442087374355</v>
      </c>
      <c r="P19" s="82">
        <f t="shared" si="1"/>
        <v>3.9876983968966178</v>
      </c>
    </row>
    <row r="20" spans="2:16" ht="18" customHeight="1" x14ac:dyDescent="0.25">
      <c r="B20" s="4" t="s">
        <v>1</v>
      </c>
      <c r="C20" s="5" t="s">
        <v>5</v>
      </c>
      <c r="D20" s="46">
        <v>0.7</v>
      </c>
      <c r="F20" s="42">
        <v>25</v>
      </c>
      <c r="G20" s="43">
        <v>0.8</v>
      </c>
      <c r="I20" s="173"/>
      <c r="J20" s="54">
        <v>65</v>
      </c>
      <c r="K20" s="80">
        <f t="shared" si="1"/>
        <v>4.2395720857105612</v>
      </c>
      <c r="L20" s="81">
        <f t="shared" si="1"/>
        <v>4.2137431438133106</v>
      </c>
      <c r="M20" s="80">
        <f t="shared" si="1"/>
        <v>4.0350126371766182</v>
      </c>
      <c r="N20" s="82">
        <f t="shared" si="1"/>
        <v>4.0107473572289294</v>
      </c>
      <c r="O20" s="83">
        <f t="shared" si="1"/>
        <v>3.8649715952696377</v>
      </c>
      <c r="P20" s="82">
        <f t="shared" si="1"/>
        <v>3.8419593091516209</v>
      </c>
    </row>
    <row r="21" spans="2:16" ht="18" hidden="1" customHeight="1" x14ac:dyDescent="0.25">
      <c r="B21" s="4" t="s">
        <v>18</v>
      </c>
      <c r="C21" s="4"/>
      <c r="D21" s="47">
        <v>200</v>
      </c>
      <c r="F21" s="42">
        <v>30</v>
      </c>
      <c r="G21" s="43">
        <f>0.8*(60-$F21)/30</f>
        <v>0.8</v>
      </c>
      <c r="I21" s="173"/>
      <c r="J21" s="54">
        <v>90</v>
      </c>
      <c r="K21" s="80">
        <f t="shared" si="1"/>
        <v>3.9187456888038423</v>
      </c>
      <c r="L21" s="81">
        <f t="shared" si="1"/>
        <v>3.899843289058742</v>
      </c>
      <c r="M21" s="80">
        <f t="shared" si="1"/>
        <v>3.7281488287378921</v>
      </c>
      <c r="N21" s="82">
        <f t="shared" si="1"/>
        <v>3.7104200220178694</v>
      </c>
      <c r="O21" s="83">
        <f t="shared" si="1"/>
        <v>3.5699398849562125</v>
      </c>
      <c r="P21" s="82">
        <f t="shared" si="1"/>
        <v>3.5531475202154472</v>
      </c>
    </row>
    <row r="22" spans="2:16" ht="18" customHeight="1" thickBot="1" x14ac:dyDescent="0.3">
      <c r="B22" s="41" t="s">
        <v>36</v>
      </c>
      <c r="C22" s="38"/>
      <c r="D22" s="45">
        <v>10</v>
      </c>
      <c r="F22" s="28" t="s">
        <v>32</v>
      </c>
      <c r="G22" s="33">
        <f>VLOOKUP($D$22,F16:G21,2)</f>
        <v>0.8</v>
      </c>
      <c r="I22" s="168"/>
      <c r="J22" s="134">
        <v>140</v>
      </c>
      <c r="K22" s="130">
        <f t="shared" si="1"/>
        <v>3.4860047379156138</v>
      </c>
      <c r="L22" s="132">
        <f t="shared" si="1"/>
        <v>3.4741339584186686</v>
      </c>
      <c r="M22" s="130">
        <f t="shared" si="1"/>
        <v>3.314957051627379</v>
      </c>
      <c r="N22" s="131">
        <f t="shared" si="1"/>
        <v>3.3038437438915107</v>
      </c>
      <c r="O22" s="133">
        <f t="shared" si="1"/>
        <v>3.1731995889555966</v>
      </c>
      <c r="P22" s="131">
        <f t="shared" si="1"/>
        <v>3.1626878963814429</v>
      </c>
    </row>
    <row r="23" spans="2:16" ht="18" customHeight="1" thickBot="1" x14ac:dyDescent="0.3">
      <c r="I23" s="34" t="s">
        <v>39</v>
      </c>
    </row>
    <row r="24" spans="2:16" ht="18" customHeight="1" x14ac:dyDescent="0.3">
      <c r="B24" s="2" t="s">
        <v>17</v>
      </c>
      <c r="C24" s="21" t="s">
        <v>14</v>
      </c>
      <c r="D24" s="22" t="s">
        <v>27</v>
      </c>
      <c r="I24" s="166" t="s">
        <v>34</v>
      </c>
      <c r="J24" s="53">
        <v>45</v>
      </c>
      <c r="K24" s="66"/>
      <c r="L24" s="68"/>
      <c r="M24" s="66"/>
      <c r="N24" s="67"/>
      <c r="O24" s="70"/>
      <c r="P24" s="67"/>
    </row>
    <row r="25" spans="2:16" ht="18" hidden="1" customHeight="1" x14ac:dyDescent="0.3">
      <c r="B25" s="10" t="s">
        <v>13</v>
      </c>
      <c r="C25" s="35">
        <f>($D$20*$G$22*$D$19)+(($D$20-0.022)*(D18/COS($D$22*PI()/180)))+($D$8/COS($D$22*PI()/180))</f>
        <v>41.258971866973049</v>
      </c>
      <c r="D25" s="35">
        <f>($D$20*$G$22*$D$19)+(($D$20-0.022)*(D18/COS($D$22*PI()/180)))+(($D$8+(2*$D$9))/COS($D$22*PI()/180))</f>
        <v>57.201169673579244</v>
      </c>
      <c r="I25" s="167"/>
      <c r="J25" s="54">
        <v>55</v>
      </c>
      <c r="K25" s="60"/>
      <c r="L25" s="69"/>
      <c r="M25" s="60"/>
      <c r="N25" s="61"/>
      <c r="O25" s="55"/>
      <c r="P25" s="61"/>
    </row>
    <row r="26" spans="2:16" ht="18" customHeight="1" x14ac:dyDescent="0.3">
      <c r="B26" s="10" t="s">
        <v>50</v>
      </c>
      <c r="C26" s="50">
        <f>0.88*((($D$10*$D$12*10000/($D$21*$D$14*$C$25))^(1/3))/100)</f>
        <v>4.3662096311027447</v>
      </c>
      <c r="D26" s="50">
        <f>0.9*((((($D$10*$D$12)+(2*(D11*D13)))*10000/($D$21*$D$14*$D$25))^(1/3))/100)</f>
        <v>6.1778173013294797</v>
      </c>
      <c r="I26" s="167"/>
      <c r="J26" s="54">
        <v>65</v>
      </c>
      <c r="K26" s="60"/>
      <c r="L26" s="69"/>
      <c r="M26" s="60"/>
      <c r="N26" s="61"/>
      <c r="O26" s="55"/>
      <c r="P26" s="61"/>
    </row>
    <row r="27" spans="2:16" ht="18" customHeight="1" x14ac:dyDescent="0.25">
      <c r="I27" s="167"/>
      <c r="J27" s="54">
        <v>90</v>
      </c>
      <c r="K27" s="60"/>
      <c r="L27" s="69"/>
      <c r="M27" s="60"/>
      <c r="N27" s="61"/>
      <c r="O27" s="55"/>
      <c r="P27" s="61"/>
    </row>
    <row r="28" spans="2:16" ht="18" customHeight="1" thickBot="1" x14ac:dyDescent="0.3">
      <c r="I28" s="168"/>
      <c r="J28" s="134">
        <v>140</v>
      </c>
      <c r="K28" s="62"/>
      <c r="L28" s="71"/>
      <c r="M28" s="62"/>
      <c r="N28" s="63"/>
      <c r="O28" s="65"/>
      <c r="P28" s="63"/>
    </row>
    <row r="29" spans="2:16" ht="18" customHeight="1" thickBot="1" x14ac:dyDescent="0.3">
      <c r="I29" s="34" t="s">
        <v>40</v>
      </c>
    </row>
    <row r="30" spans="2:16" ht="18" customHeight="1" x14ac:dyDescent="0.25">
      <c r="I30" s="166" t="s">
        <v>34</v>
      </c>
      <c r="J30" s="53">
        <v>45</v>
      </c>
      <c r="K30" s="135">
        <f>0.9*((((($D$10*$D$12)+(($D$11*2)*$D$13))*10000/($D$21*$D$14*((K$16*(((VLOOKUP(K$17,$F$16:$G$22,2))*$J24))+((K$16-0.022)*($D$18/COS(K$17*PI()/180))))+(($D$8+($D$9*2))/COS(K$17*PI()/180)))))^(1/3))/100)</f>
        <v>6.4091675401532404</v>
      </c>
      <c r="L30" s="136">
        <f t="shared" ref="L30:P30" si="2">0.9*((((($D$10*$D$12)+(($D$11*2)*$D$13))*10000/($D$21*$D$14*((L$16*(((VLOOKUP(L$17,$F$16:$G$22,2))*$J24))+((L$16-0.022)*($D$18/COS(L$17*PI()/180))))+(($D$8+($D$9*2))/COS(L$17*PI()/180)))))^(1/3))/100)</f>
        <v>6.3365509046810269</v>
      </c>
      <c r="M30" s="135">
        <f t="shared" si="2"/>
        <v>6.1910422654793029</v>
      </c>
      <c r="N30" s="137">
        <f t="shared" si="2"/>
        <v>6.1234765223249514</v>
      </c>
      <c r="O30" s="138">
        <f t="shared" si="2"/>
        <v>5.9998730283471104</v>
      </c>
      <c r="P30" s="137">
        <f t="shared" si="2"/>
        <v>5.936447615957448</v>
      </c>
    </row>
    <row r="31" spans="2:16" ht="18" customHeight="1" x14ac:dyDescent="0.25">
      <c r="I31" s="167"/>
      <c r="J31" s="54">
        <v>55</v>
      </c>
      <c r="K31" s="80">
        <f t="shared" ref="K31:P34" si="3">0.9*((((($D$10*$D$12)+(($D$11*2)*$D$13))*10000/($D$21*$D$14*((K$16*(((VLOOKUP(K$17,$F$16:$G$22,2))*$J25))+((K$16-0.022)*($D$18/COS(K$17*PI()/180))))+(($D$8+($D$9*2))/COS(K$17*PI()/180)))))^(1/3))/100)</f>
        <v>6.2206484099382324</v>
      </c>
      <c r="L31" s="81">
        <f t="shared" si="3"/>
        <v>6.1560814875345393</v>
      </c>
      <c r="M31" s="80">
        <f t="shared" si="3"/>
        <v>6.0001177358055129</v>
      </c>
      <c r="N31" s="82">
        <f t="shared" si="3"/>
        <v>5.9403927960242733</v>
      </c>
      <c r="O31" s="83">
        <f t="shared" si="3"/>
        <v>5.8078677960640306</v>
      </c>
      <c r="P31" s="82">
        <f t="shared" si="3"/>
        <v>5.7520708213193918</v>
      </c>
    </row>
    <row r="32" spans="2:16" ht="18" customHeight="1" x14ac:dyDescent="0.25">
      <c r="I32" s="167"/>
      <c r="J32" s="54">
        <v>65</v>
      </c>
      <c r="K32" s="80">
        <f t="shared" si="3"/>
        <v>6.0525185735598823</v>
      </c>
      <c r="L32" s="81">
        <f t="shared" si="3"/>
        <v>5.9945597895731026</v>
      </c>
      <c r="M32" s="80">
        <f t="shared" si="3"/>
        <v>5.8307589496041778</v>
      </c>
      <c r="N32" s="82">
        <f t="shared" si="3"/>
        <v>5.7774101462969973</v>
      </c>
      <c r="O32" s="83">
        <f t="shared" si="3"/>
        <v>5.6382970688258247</v>
      </c>
      <c r="P32" s="82">
        <f t="shared" si="3"/>
        <v>5.5886559472128292</v>
      </c>
    </row>
    <row r="33" spans="4:16" ht="18" customHeight="1" x14ac:dyDescent="0.25">
      <c r="I33" s="167"/>
      <c r="J33" s="54">
        <v>90</v>
      </c>
      <c r="K33" s="80">
        <f t="shared" si="3"/>
        <v>5.6999504602001112</v>
      </c>
      <c r="L33" s="81">
        <f t="shared" si="3"/>
        <v>5.6542180917561744</v>
      </c>
      <c r="M33" s="80">
        <f t="shared" si="3"/>
        <v>5.4781799645369542</v>
      </c>
      <c r="N33" s="82">
        <f t="shared" si="3"/>
        <v>5.4364814770785088</v>
      </c>
      <c r="O33" s="83">
        <f t="shared" si="3"/>
        <v>5.2873347893034053</v>
      </c>
      <c r="P33" s="82">
        <f t="shared" si="3"/>
        <v>5.2488283922616423</v>
      </c>
    </row>
    <row r="34" spans="4:16" ht="18" customHeight="1" thickBot="1" x14ac:dyDescent="0.3">
      <c r="I34" s="168"/>
      <c r="J34" s="134">
        <v>140</v>
      </c>
      <c r="K34" s="130">
        <f t="shared" si="3"/>
        <v>5.1836630255649716</v>
      </c>
      <c r="L34" s="132">
        <f t="shared" si="3"/>
        <v>5.1522572824138031</v>
      </c>
      <c r="M34" s="130">
        <f t="shared" si="3"/>
        <v>4.9673631559026807</v>
      </c>
      <c r="N34" s="131">
        <f t="shared" si="3"/>
        <v>4.9390650782846279</v>
      </c>
      <c r="O34" s="133">
        <f t="shared" si="3"/>
        <v>4.783171113609388</v>
      </c>
      <c r="P34" s="131">
        <f t="shared" si="3"/>
        <v>4.757283743517764</v>
      </c>
    </row>
    <row r="35" spans="4:16" ht="18" customHeight="1" x14ac:dyDescent="0.25"/>
    <row r="36" spans="4:16" ht="18" customHeight="1" x14ac:dyDescent="0.25"/>
    <row r="37" spans="4:16" ht="18" customHeight="1" x14ac:dyDescent="0.3">
      <c r="D37" s="1"/>
    </row>
    <row r="38" spans="4:16" ht="18" customHeight="1" x14ac:dyDescent="0.25"/>
    <row r="39" spans="4:16" ht="18" customHeight="1" x14ac:dyDescent="0.25"/>
    <row r="40" spans="4:16" ht="18" customHeight="1" x14ac:dyDescent="0.25"/>
    <row r="41" spans="4:16" ht="18" customHeight="1" x14ac:dyDescent="0.25"/>
    <row r="42" spans="4:16" ht="18" customHeight="1" x14ac:dyDescent="0.25"/>
    <row r="43" spans="4:16" ht="20.100000000000001" customHeight="1" x14ac:dyDescent="0.25"/>
    <row r="44" spans="4:16" ht="20.100000000000001" customHeight="1" x14ac:dyDescent="0.25"/>
    <row r="45" spans="4:16" ht="20.100000000000001" customHeight="1" x14ac:dyDescent="0.25"/>
    <row r="46" spans="4:16" ht="20.100000000000001" customHeight="1" x14ac:dyDescent="0.25"/>
    <row r="47" spans="4:16" ht="20.100000000000001" customHeight="1" x14ac:dyDescent="0.25"/>
    <row r="48" spans="4:16" ht="20.100000000000001" customHeight="1" x14ac:dyDescent="0.25"/>
    <row r="49" ht="20.100000000000001" customHeight="1" x14ac:dyDescent="0.25"/>
    <row r="50" ht="20.100000000000001" customHeight="1" x14ac:dyDescent="0.25"/>
  </sheetData>
  <sheetProtection algorithmName="SHA-512" hashValue="MX7DPtOjOtmvzA6IGEKEg64+6/qjsJZTStApyVeb3eRhAF9m06UbfaftZ/rzd2hW3icv8gJoeb8aVbo5nP4QcA==" saltValue="3vp4LkpdT0f6QhcpjN0AGQ==" spinCount="100000" sheet="1" objects="1" scenarios="1"/>
  <mergeCells count="6">
    <mergeCell ref="B2:D2"/>
    <mergeCell ref="I16:J16"/>
    <mergeCell ref="I17:J17"/>
    <mergeCell ref="I24:I28"/>
    <mergeCell ref="I30:I34"/>
    <mergeCell ref="I18:I22"/>
  </mergeCells>
  <phoneticPr fontId="0" type="noConversion"/>
  <pageMargins left="0.39370078740157483" right="0" top="0.39370078740157483" bottom="0" header="0" footer="0"/>
  <pageSetup paperSize="9" scale="43" fitToHeight="0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5A8D9-6A15-40AF-A9D3-8BDAAC619170}">
  <sheetPr>
    <pageSetUpPr fitToPage="1"/>
  </sheetPr>
  <dimension ref="B1:R50"/>
  <sheetViews>
    <sheetView workbookViewId="0">
      <selection activeCell="Y30" sqref="Y30"/>
    </sheetView>
  </sheetViews>
  <sheetFormatPr baseColWidth="10" defaultRowHeight="12.6" x14ac:dyDescent="0.25"/>
  <cols>
    <col min="1" max="1" width="1.6640625" customWidth="1"/>
    <col min="2" max="2" width="39.109375" bestFit="1" customWidth="1"/>
    <col min="3" max="4" width="17.6640625" customWidth="1"/>
    <col min="5" max="5" width="1.6640625" customWidth="1"/>
    <col min="6" max="7" width="10.77734375" hidden="1" customWidth="1"/>
    <col min="8" max="10" width="5.77734375" hidden="1" customWidth="1"/>
    <col min="11" max="18" width="7.77734375" hidden="1" customWidth="1"/>
    <col min="19" max="19" width="11.109375" customWidth="1"/>
  </cols>
  <sheetData>
    <row r="1" spans="2:18" ht="12.9" customHeight="1" x14ac:dyDescent="0.25">
      <c r="B1" s="176" t="s">
        <v>51</v>
      </c>
    </row>
    <row r="2" spans="2:18" ht="18" customHeight="1" x14ac:dyDescent="0.25">
      <c r="B2" s="169" t="s">
        <v>48</v>
      </c>
      <c r="C2" s="170"/>
      <c r="D2" s="170"/>
      <c r="E2" s="17"/>
      <c r="F2" s="17"/>
      <c r="G2" s="17"/>
      <c r="H2" s="16"/>
      <c r="I2" s="16"/>
    </row>
    <row r="3" spans="2:18" ht="18" customHeight="1" x14ac:dyDescent="0.25">
      <c r="B3" s="20" t="s">
        <v>29</v>
      </c>
      <c r="C3" s="49"/>
      <c r="D3" s="49"/>
      <c r="E3" s="17"/>
      <c r="F3" s="17"/>
      <c r="G3" s="17"/>
      <c r="H3" s="16"/>
      <c r="I3" s="16"/>
    </row>
    <row r="4" spans="2:18" ht="18" customHeight="1" x14ac:dyDescent="0.25">
      <c r="B4" s="20" t="s">
        <v>26</v>
      </c>
      <c r="C4" s="49"/>
      <c r="D4" s="49"/>
      <c r="E4" s="17"/>
      <c r="F4" s="17"/>
      <c r="G4" s="17"/>
      <c r="H4" s="16"/>
      <c r="I4" s="16"/>
    </row>
    <row r="5" spans="2:18" ht="3" customHeight="1" thickBot="1" x14ac:dyDescent="0.3"/>
    <row r="6" spans="2:18" ht="18" hidden="1" customHeight="1" x14ac:dyDescent="0.3">
      <c r="B6" s="2" t="s">
        <v>6</v>
      </c>
    </row>
    <row r="7" spans="2:18" ht="18" hidden="1" customHeight="1" x14ac:dyDescent="0.25">
      <c r="B7" s="11" t="s">
        <v>2</v>
      </c>
      <c r="C7" s="7" t="s">
        <v>3</v>
      </c>
    </row>
    <row r="8" spans="2:18" ht="18" hidden="1" customHeight="1" x14ac:dyDescent="0.25">
      <c r="B8" s="4" t="s">
        <v>22</v>
      </c>
      <c r="C8" s="8" t="s">
        <v>24</v>
      </c>
      <c r="D8" s="23">
        <v>2.2549999999999999</v>
      </c>
      <c r="F8" s="13"/>
      <c r="G8" s="14"/>
      <c r="H8" s="14"/>
      <c r="I8" s="14"/>
    </row>
    <row r="9" spans="2:18" ht="18" hidden="1" customHeight="1" x14ac:dyDescent="0.25">
      <c r="B9" s="4" t="s">
        <v>19</v>
      </c>
      <c r="C9" s="8" t="s">
        <v>24</v>
      </c>
      <c r="D9" s="23">
        <v>6.3109999999999999</v>
      </c>
      <c r="F9" s="15"/>
      <c r="G9" s="13"/>
      <c r="H9" s="13"/>
      <c r="I9" s="13"/>
    </row>
    <row r="10" spans="2:18" ht="18" hidden="1" customHeight="1" x14ac:dyDescent="0.25">
      <c r="B10" s="4" t="s">
        <v>23</v>
      </c>
      <c r="C10" s="8" t="s">
        <v>10</v>
      </c>
      <c r="D10" s="24">
        <v>187.18</v>
      </c>
    </row>
    <row r="11" spans="2:18" ht="18" hidden="1" customHeight="1" x14ac:dyDescent="0.25">
      <c r="B11" s="4" t="s">
        <v>9</v>
      </c>
      <c r="C11" s="8" t="s">
        <v>10</v>
      </c>
      <c r="D11" s="24">
        <v>86.424999999999997</v>
      </c>
    </row>
    <row r="12" spans="2:18" ht="18" hidden="1" customHeight="1" x14ac:dyDescent="0.25">
      <c r="B12" s="6" t="s">
        <v>7</v>
      </c>
      <c r="C12" s="5" t="s">
        <v>16</v>
      </c>
      <c r="D12" s="25">
        <v>7000</v>
      </c>
    </row>
    <row r="13" spans="2:18" ht="18" hidden="1" customHeight="1" x14ac:dyDescent="0.25">
      <c r="B13" s="6" t="s">
        <v>8</v>
      </c>
      <c r="C13" s="5" t="s">
        <v>16</v>
      </c>
      <c r="D13" s="25">
        <v>21000</v>
      </c>
    </row>
    <row r="14" spans="2:18" ht="18" hidden="1" customHeight="1" x14ac:dyDescent="0.25">
      <c r="B14" s="6" t="s">
        <v>12</v>
      </c>
      <c r="C14" s="3" t="s">
        <v>11</v>
      </c>
      <c r="D14" s="25">
        <v>1.2999999999999999E-2</v>
      </c>
    </row>
    <row r="15" spans="2:18" ht="18" hidden="1" customHeight="1" thickBot="1" x14ac:dyDescent="0.3">
      <c r="F15" s="28" t="s">
        <v>30</v>
      </c>
      <c r="G15" s="28" t="s">
        <v>31</v>
      </c>
      <c r="I15" s="97" t="s">
        <v>43</v>
      </c>
    </row>
    <row r="16" spans="2:18" ht="18" customHeight="1" x14ac:dyDescent="0.3">
      <c r="B16" s="2" t="s">
        <v>0</v>
      </c>
      <c r="F16" s="31">
        <v>5</v>
      </c>
      <c r="G16" s="29">
        <v>0.8</v>
      </c>
      <c r="I16" s="171" t="s">
        <v>33</v>
      </c>
      <c r="J16" s="172"/>
      <c r="K16" s="73">
        <v>1.1000000000000001</v>
      </c>
      <c r="L16" s="74">
        <v>1.1000000000000001</v>
      </c>
      <c r="M16" s="73">
        <v>1.2</v>
      </c>
      <c r="N16" s="75">
        <v>1.2</v>
      </c>
      <c r="O16" s="75">
        <v>1.2</v>
      </c>
      <c r="P16" s="57">
        <v>1.2</v>
      </c>
      <c r="Q16" s="75">
        <v>1.3</v>
      </c>
      <c r="R16" s="57">
        <v>1.3</v>
      </c>
    </row>
    <row r="17" spans="2:18" ht="18" customHeight="1" x14ac:dyDescent="0.25">
      <c r="B17" s="9" t="s">
        <v>2</v>
      </c>
      <c r="C17" s="12" t="s">
        <v>3</v>
      </c>
      <c r="D17" s="48" t="s">
        <v>25</v>
      </c>
      <c r="F17" s="32">
        <v>10</v>
      </c>
      <c r="G17" s="30">
        <v>0.8</v>
      </c>
      <c r="I17" s="171" t="s">
        <v>30</v>
      </c>
      <c r="J17" s="172"/>
      <c r="K17" s="58">
        <v>5</v>
      </c>
      <c r="L17" s="39">
        <v>20</v>
      </c>
      <c r="M17" s="58">
        <v>5</v>
      </c>
      <c r="N17" s="147">
        <v>10</v>
      </c>
      <c r="O17" s="147">
        <v>15</v>
      </c>
      <c r="P17" s="59">
        <v>20</v>
      </c>
      <c r="Q17" s="40">
        <v>5</v>
      </c>
      <c r="R17" s="59">
        <v>20</v>
      </c>
    </row>
    <row r="18" spans="2:18" ht="18" customHeight="1" x14ac:dyDescent="0.25">
      <c r="B18" s="4" t="s">
        <v>20</v>
      </c>
      <c r="C18" s="5" t="s">
        <v>4</v>
      </c>
      <c r="D18" s="44">
        <v>5</v>
      </c>
      <c r="F18" s="32">
        <v>15</v>
      </c>
      <c r="G18" s="30">
        <v>0.8</v>
      </c>
      <c r="H18" s="19"/>
      <c r="I18" s="166" t="s">
        <v>34</v>
      </c>
      <c r="J18" s="53">
        <v>45</v>
      </c>
      <c r="K18" s="98">
        <f>0.89*((($D$10*$D$12*10000/($D$21*$D$14*((K$16*(((VLOOKUP(K$17,$F$16:$G$22,2))*$J18))+((K$16-0.022)*($D$18/COS(K$17*PI()/180))))+($D$8/COS(K$17*PI()/180)))))^(1/3))/100)</f>
        <v>4.2199759973776416</v>
      </c>
      <c r="L18" s="99">
        <f t="shared" ref="L18:R18" si="0">0.89*((($D$10*$D$12*10000/($D$21*$D$14*((L$16*(((VLOOKUP(L$17,$F$16:$G$22,2))*$J18))+((L$16-0.022)*($D$18/COS(L$17*PI()/180))))+($D$8/COS(L$17*PI()/180)))))^(1/3))/100)</f>
        <v>4.2063344854932767</v>
      </c>
      <c r="M18" s="148">
        <f>0.89*((($D$10*$D$12*10000/($D$21*$D$14*((M$16*(((VLOOKUP(M$17,$F$16:$G$22,2))*$J18))+((M$16-0.022)*($D$18/COS(M$17*PI()/180))))+($D$8/COS(M$17*PI()/180)))))^(1/3))/100)</f>
        <v>4.1045382294729649</v>
      </c>
      <c r="N18" s="149">
        <f t="shared" si="0"/>
        <v>4.1020237267408781</v>
      </c>
      <c r="O18" s="149">
        <f t="shared" si="0"/>
        <v>4.097737735826513</v>
      </c>
      <c r="P18" s="149">
        <f t="shared" si="0"/>
        <v>4.0915290923978977</v>
      </c>
      <c r="Q18" s="101">
        <f t="shared" si="0"/>
        <v>4.0007774547010042</v>
      </c>
      <c r="R18" s="100">
        <f t="shared" si="0"/>
        <v>3.9883125286940406</v>
      </c>
    </row>
    <row r="19" spans="2:18" ht="18" customHeight="1" x14ac:dyDescent="0.25">
      <c r="B19" s="4" t="s">
        <v>21</v>
      </c>
      <c r="C19" s="5" t="s">
        <v>4</v>
      </c>
      <c r="D19" s="45">
        <v>45</v>
      </c>
      <c r="F19" s="32">
        <v>20</v>
      </c>
      <c r="G19" s="30">
        <v>0.8</v>
      </c>
      <c r="I19" s="173"/>
      <c r="J19" s="54">
        <v>55</v>
      </c>
      <c r="K19" s="102">
        <f t="shared" ref="K19:R22" si="1">0.89*((($D$10*$D$12*10000/($D$21*$D$14*((K$16*(((VLOOKUP(K$17,$F$16:$G$22,2))*$J19))+((K$16-0.022)*($D$18/COS(K$17*PI()/180))))+($D$8/COS(K$17*PI()/180)))))^(1/3))/100)</f>
        <v>3.986548169174291</v>
      </c>
      <c r="L19" s="103">
        <f t="shared" si="1"/>
        <v>3.9756726340055013</v>
      </c>
      <c r="M19" s="148">
        <f t="shared" si="1"/>
        <v>3.8767233245878536</v>
      </c>
      <c r="N19" s="149">
        <f t="shared" si="1"/>
        <v>3.8747219062620046</v>
      </c>
      <c r="O19" s="149">
        <f t="shared" si="1"/>
        <v>3.8713086938261676</v>
      </c>
      <c r="P19" s="149">
        <f t="shared" si="1"/>
        <v>3.8663603772364801</v>
      </c>
      <c r="Q19" s="105">
        <f t="shared" si="1"/>
        <v>3.7780804390737477</v>
      </c>
      <c r="R19" s="104">
        <f t="shared" si="1"/>
        <v>3.7681578834496317</v>
      </c>
    </row>
    <row r="20" spans="2:18" ht="18" customHeight="1" x14ac:dyDescent="0.25">
      <c r="B20" s="4" t="s">
        <v>1</v>
      </c>
      <c r="C20" s="5" t="s">
        <v>5</v>
      </c>
      <c r="D20" s="46">
        <v>1.2</v>
      </c>
      <c r="F20" s="42">
        <v>25</v>
      </c>
      <c r="G20" s="43">
        <v>0.8</v>
      </c>
      <c r="I20" s="173"/>
      <c r="J20" s="54">
        <v>65</v>
      </c>
      <c r="K20" s="102">
        <f t="shared" si="1"/>
        <v>3.797467280304299</v>
      </c>
      <c r="L20" s="103">
        <f t="shared" si="1"/>
        <v>3.7885062131186178</v>
      </c>
      <c r="M20" s="148">
        <f t="shared" si="1"/>
        <v>3.6923155325233394</v>
      </c>
      <c r="N20" s="149">
        <f t="shared" si="1"/>
        <v>3.6906683760674563</v>
      </c>
      <c r="O20" s="149">
        <f t="shared" si="1"/>
        <v>3.6878582542070331</v>
      </c>
      <c r="P20" s="149">
        <f t="shared" si="1"/>
        <v>3.6837818848796973</v>
      </c>
      <c r="Q20" s="105">
        <f t="shared" si="1"/>
        <v>3.5979206125489944</v>
      </c>
      <c r="R20" s="104">
        <f t="shared" si="1"/>
        <v>3.5897537418513479</v>
      </c>
    </row>
    <row r="21" spans="2:18" ht="18" hidden="1" customHeight="1" x14ac:dyDescent="0.25">
      <c r="B21" s="4" t="s">
        <v>18</v>
      </c>
      <c r="C21" s="4"/>
      <c r="D21" s="47">
        <v>200</v>
      </c>
      <c r="F21" s="42">
        <v>30</v>
      </c>
      <c r="G21" s="43">
        <f>0.8*(60-$F21)/30</f>
        <v>0.8</v>
      </c>
      <c r="I21" s="173"/>
      <c r="J21" s="54">
        <v>90</v>
      </c>
      <c r="K21" s="102">
        <f t="shared" si="1"/>
        <v>3.4452529064809427</v>
      </c>
      <c r="L21" s="103">
        <f t="shared" si="1"/>
        <v>3.439174543213078</v>
      </c>
      <c r="M21" s="148">
        <f t="shared" si="1"/>
        <v>3.349070054148144</v>
      </c>
      <c r="N21" s="149">
        <f t="shared" si="1"/>
        <v>3.3479549000981024</v>
      </c>
      <c r="O21" s="149">
        <f t="shared" si="1"/>
        <v>3.3460512326938407</v>
      </c>
      <c r="P21" s="149">
        <f t="shared" si="1"/>
        <v>3.3432871573321878</v>
      </c>
      <c r="Q21" s="105">
        <f t="shared" si="1"/>
        <v>3.2628011807404329</v>
      </c>
      <c r="R21" s="104">
        <f t="shared" si="1"/>
        <v>3.2572713397731854</v>
      </c>
    </row>
    <row r="22" spans="2:18" ht="18" customHeight="1" thickBot="1" x14ac:dyDescent="0.3">
      <c r="B22" s="41" t="s">
        <v>36</v>
      </c>
      <c r="C22" s="37" t="s">
        <v>35</v>
      </c>
      <c r="D22" s="45">
        <v>10</v>
      </c>
      <c r="F22" s="28" t="s">
        <v>32</v>
      </c>
      <c r="G22" s="33">
        <f>VLOOKUP($D$22,F16:G21,2)</f>
        <v>0.8</v>
      </c>
      <c r="I22" s="168"/>
      <c r="J22" s="96">
        <v>140</v>
      </c>
      <c r="K22" s="139">
        <f t="shared" si="1"/>
        <v>3.0053844524808211</v>
      </c>
      <c r="L22" s="141">
        <f t="shared" si="1"/>
        <v>3.0018606028635619</v>
      </c>
      <c r="M22" s="150">
        <f t="shared" si="1"/>
        <v>2.920804317377677</v>
      </c>
      <c r="N22" s="151">
        <f t="shared" si="1"/>
        <v>2.9201590419203658</v>
      </c>
      <c r="O22" s="151">
        <f t="shared" si="1"/>
        <v>2.9190568306682279</v>
      </c>
      <c r="P22" s="151">
        <f t="shared" si="1"/>
        <v>2.917454947569325</v>
      </c>
      <c r="Q22" s="142">
        <f t="shared" si="1"/>
        <v>2.8450071605169973</v>
      </c>
      <c r="R22" s="140">
        <f t="shared" si="1"/>
        <v>2.841806941907449</v>
      </c>
    </row>
    <row r="23" spans="2:18" ht="18" customHeight="1" thickBot="1" x14ac:dyDescent="0.3">
      <c r="F23" s="27"/>
      <c r="G23" s="36"/>
      <c r="I23" s="97" t="s">
        <v>42</v>
      </c>
    </row>
    <row r="24" spans="2:18" ht="18" customHeight="1" x14ac:dyDescent="0.3">
      <c r="B24" s="2" t="s">
        <v>17</v>
      </c>
      <c r="C24" s="21" t="s">
        <v>14</v>
      </c>
      <c r="D24" s="22" t="s">
        <v>15</v>
      </c>
      <c r="F24" s="27"/>
      <c r="G24" s="36"/>
      <c r="I24" s="166" t="s">
        <v>34</v>
      </c>
      <c r="J24" s="53">
        <v>45</v>
      </c>
      <c r="K24" s="110">
        <f>0.89*((((($D$10*$D$12)+($D$11*$D$13))*10000/($D$21*$D$14*((K$16*(((VLOOKUP(K$17,$F$16:$G$22,2))*$J24))+((K$16-0.022)*($D$18/COS(K$17*PI()/180))))+(($D$8+$D$9)/COS(K$17*PI()/180)))))^(1/3))/100)</f>
        <v>5.4068467819774044</v>
      </c>
      <c r="L24" s="111">
        <f t="shared" ref="L24:R24" si="2">0.89*((((($D$10*$D$12)+($D$11*$D$13))*10000/($D$21*$D$14*((L$16*(((VLOOKUP(L$17,$F$16:$G$22,2))*$J24))+((L$16-0.022)*($D$18/COS(L$17*PI()/180))))+(($D$8+$D$9)/COS(L$17*PI()/180)))))^(1/3))/100)</f>
        <v>5.3788208508240798</v>
      </c>
      <c r="M24" s="152">
        <f t="shared" si="2"/>
        <v>5.2755861207052313</v>
      </c>
      <c r="N24" s="153">
        <f t="shared" si="2"/>
        <v>5.2704833246817619</v>
      </c>
      <c r="O24" s="153">
        <f t="shared" si="2"/>
        <v>5.2618022181507982</v>
      </c>
      <c r="P24" s="154">
        <f t="shared" si="2"/>
        <v>5.2492638427556555</v>
      </c>
      <c r="Q24" s="113">
        <f t="shared" si="2"/>
        <v>5.1562095289520418</v>
      </c>
      <c r="R24" s="112">
        <f t="shared" si="2"/>
        <v>5.1313508908754466</v>
      </c>
    </row>
    <row r="25" spans="2:18" ht="18" hidden="1" customHeight="1" x14ac:dyDescent="0.3">
      <c r="B25" s="10" t="s">
        <v>13</v>
      </c>
      <c r="C25" s="35">
        <f>(D20*((VLOOKUP(D22,F16:G21,2))*D19)+((D20-0.022)*(D18)/COS($D$22*PI()/180)))+(D8/COS($D$22*PI()/180))</f>
        <v>51.470649753809383</v>
      </c>
      <c r="D25" s="35">
        <f>D20*((VLOOKUP(D22,F16:G24,2))*D19)+((D20-0.022)*(D18)/COS($D$22*PI()/180))+((D8+D9)/COS($D$22*PI()/180))</f>
        <v>57.879007101420321</v>
      </c>
      <c r="I25" s="167"/>
      <c r="J25" s="54">
        <v>55</v>
      </c>
      <c r="K25" s="114">
        <f t="shared" ref="K25:R28" si="3">0.89*((((($D$10*$D$12)+($D$11*$D$13))*10000/($D$21*$D$14*((K$16*(((VLOOKUP(K$17,$F$16:$G$22,2))*$J25))+((K$16-0.022)*($D$18/COS(K$17*PI()/180))))+(($D$8+$D$9)/COS(K$17*PI()/180)))))^(1/3))/100)</f>
        <v>5.1397383186652608</v>
      </c>
      <c r="L25" s="115">
        <f t="shared" si="3"/>
        <v>5.1168200875532666</v>
      </c>
      <c r="M25" s="155">
        <f t="shared" si="3"/>
        <v>5.0118144189827154</v>
      </c>
      <c r="N25" s="156">
        <f t="shared" si="3"/>
        <v>5.0076569881570743</v>
      </c>
      <c r="O25" s="156">
        <f t="shared" si="3"/>
        <v>5.0005789160918841</v>
      </c>
      <c r="P25" s="157">
        <f t="shared" si="3"/>
        <v>4.9903441668018464</v>
      </c>
      <c r="Q25" s="117">
        <f t="shared" si="3"/>
        <v>4.8957445100888757</v>
      </c>
      <c r="R25" s="116">
        <f t="shared" si="3"/>
        <v>4.8755128374858137</v>
      </c>
    </row>
    <row r="26" spans="2:18" ht="18" customHeight="1" x14ac:dyDescent="0.3">
      <c r="B26" s="10" t="s">
        <v>50</v>
      </c>
      <c r="C26" s="50">
        <f>0.89*(((D10*D12*10000/(D21*D14*C25))^(1/3))/100)</f>
        <v>4.1020237267408781</v>
      </c>
      <c r="D26" s="50">
        <f>0.89*(((((D10*D12)+(D11*D13))*10000/(D21*D14*D25))^(1/3))/100)</f>
        <v>5.2704833246817619</v>
      </c>
      <c r="I26" s="167"/>
      <c r="J26" s="54">
        <v>65</v>
      </c>
      <c r="K26" s="114">
        <f t="shared" si="3"/>
        <v>4.9186419471458818</v>
      </c>
      <c r="L26" s="115">
        <f t="shared" si="3"/>
        <v>4.8993988285038572</v>
      </c>
      <c r="M26" s="155">
        <f t="shared" si="3"/>
        <v>4.7939581126265809</v>
      </c>
      <c r="N26" s="156">
        <f t="shared" si="3"/>
        <v>4.7904770491381976</v>
      </c>
      <c r="O26" s="156">
        <f t="shared" si="3"/>
        <v>4.7845471877402375</v>
      </c>
      <c r="P26" s="157">
        <f t="shared" si="3"/>
        <v>4.7759653598049621</v>
      </c>
      <c r="Q26" s="117">
        <f t="shared" si="3"/>
        <v>4.6810266070369941</v>
      </c>
      <c r="R26" s="116">
        <f t="shared" si="3"/>
        <v>4.6640999115655379</v>
      </c>
    </row>
    <row r="27" spans="2:18" ht="18" customHeight="1" x14ac:dyDescent="0.25">
      <c r="I27" s="167"/>
      <c r="J27" s="54">
        <v>90</v>
      </c>
      <c r="K27" s="114">
        <f t="shared" si="3"/>
        <v>4.496463136073503</v>
      </c>
      <c r="L27" s="115">
        <f t="shared" si="3"/>
        <v>4.4829989617901802</v>
      </c>
      <c r="M27" s="155">
        <f t="shared" si="3"/>
        <v>4.3790272666884951</v>
      </c>
      <c r="N27" s="156">
        <f t="shared" si="3"/>
        <v>4.3766029152970969</v>
      </c>
      <c r="O27" s="156">
        <f t="shared" si="3"/>
        <v>4.3724692696381773</v>
      </c>
      <c r="P27" s="157">
        <f t="shared" si="3"/>
        <v>4.3664783687576003</v>
      </c>
      <c r="Q27" s="117">
        <f t="shared" si="3"/>
        <v>4.2729717865257619</v>
      </c>
      <c r="R27" s="116">
        <f t="shared" si="3"/>
        <v>4.2611990139222433</v>
      </c>
    </row>
    <row r="28" spans="2:18" ht="18" customHeight="1" thickBot="1" x14ac:dyDescent="0.3">
      <c r="I28" s="168"/>
      <c r="J28" s="96">
        <v>140</v>
      </c>
      <c r="K28" s="106">
        <f t="shared" si="3"/>
        <v>3.9527220335902364</v>
      </c>
      <c r="L28" s="107">
        <f t="shared" si="3"/>
        <v>3.9446661325061658</v>
      </c>
      <c r="M28" s="158">
        <f t="shared" si="3"/>
        <v>3.8463458114030216</v>
      </c>
      <c r="N28" s="159">
        <f t="shared" si="3"/>
        <v>3.8449022566363982</v>
      </c>
      <c r="O28" s="159">
        <f t="shared" si="3"/>
        <v>3.8424385445101357</v>
      </c>
      <c r="P28" s="160">
        <f t="shared" si="3"/>
        <v>3.8388625642586818</v>
      </c>
      <c r="Q28" s="109">
        <f t="shared" si="3"/>
        <v>3.7505686540580188</v>
      </c>
      <c r="R28" s="108">
        <f t="shared" si="3"/>
        <v>3.7435682771745236</v>
      </c>
    </row>
    <row r="29" spans="2:18" ht="18" customHeight="1" x14ac:dyDescent="0.25"/>
    <row r="30" spans="2:18" ht="18" customHeight="1" x14ac:dyDescent="0.25"/>
    <row r="31" spans="2:18" ht="18" customHeight="1" x14ac:dyDescent="0.25"/>
    <row r="32" spans="2:18" ht="18" customHeight="1" x14ac:dyDescent="0.25"/>
    <row r="33" spans="4:4" ht="18" customHeight="1" x14ac:dyDescent="0.25"/>
    <row r="34" spans="4:4" ht="18" customHeight="1" x14ac:dyDescent="0.25"/>
    <row r="35" spans="4:4" ht="18" customHeight="1" x14ac:dyDescent="0.25"/>
    <row r="36" spans="4:4" ht="18" customHeight="1" x14ac:dyDescent="0.25"/>
    <row r="37" spans="4:4" ht="18" customHeight="1" x14ac:dyDescent="0.3">
      <c r="D37" s="1"/>
    </row>
    <row r="38" spans="4:4" ht="18" customHeight="1" x14ac:dyDescent="0.25"/>
    <row r="39" spans="4:4" ht="18" customHeight="1" x14ac:dyDescent="0.25"/>
    <row r="40" spans="4:4" ht="18" customHeight="1" x14ac:dyDescent="0.25"/>
    <row r="41" spans="4:4" ht="18" customHeight="1" x14ac:dyDescent="0.25"/>
    <row r="42" spans="4:4" ht="18" customHeight="1" x14ac:dyDescent="0.25"/>
    <row r="43" spans="4:4" ht="18" customHeight="1" x14ac:dyDescent="0.25"/>
    <row r="44" spans="4:4" ht="18" customHeight="1" x14ac:dyDescent="0.25"/>
    <row r="45" spans="4:4" ht="20.100000000000001" customHeight="1" x14ac:dyDescent="0.25"/>
    <row r="46" spans="4:4" ht="20.100000000000001" customHeight="1" x14ac:dyDescent="0.25"/>
    <row r="47" spans="4:4" ht="20.100000000000001" customHeight="1" x14ac:dyDescent="0.25"/>
    <row r="48" spans="4:4" ht="20.100000000000001" customHeight="1" x14ac:dyDescent="0.25"/>
    <row r="49" ht="20.100000000000001" customHeight="1" x14ac:dyDescent="0.25"/>
    <row r="50" ht="20.100000000000001" customHeight="1" x14ac:dyDescent="0.25"/>
  </sheetData>
  <sheetProtection algorithmName="SHA-512" hashValue="hZ2OIQq3UOrTZaDxqR3vIudvL5o0FjoNIt8GtxmiFKVAhOd5FlxJCagd5t2zZBPX6wTwTsPKGSbw89kSgeSIeA==" saltValue="6iyBMPJ3RJ5/Nxew+zhOJg==" spinCount="100000" sheet="1" objects="1" scenarios="1"/>
  <mergeCells count="5">
    <mergeCell ref="B2:D2"/>
    <mergeCell ref="I16:J16"/>
    <mergeCell ref="I17:J17"/>
    <mergeCell ref="I18:I22"/>
    <mergeCell ref="I24:I28"/>
  </mergeCells>
  <pageMargins left="0.39370078740157483" right="0" top="0.39370078740157483" bottom="0" header="0" footer="0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7303F-FA07-4C87-AE3C-00A5E5234D25}">
  <sheetPr>
    <pageSetUpPr fitToPage="1"/>
  </sheetPr>
  <dimension ref="B1:R50"/>
  <sheetViews>
    <sheetView workbookViewId="0">
      <selection activeCell="V33" sqref="V33"/>
    </sheetView>
  </sheetViews>
  <sheetFormatPr baseColWidth="10" defaultRowHeight="12.6" x14ac:dyDescent="0.25"/>
  <cols>
    <col min="1" max="1" width="1.6640625" customWidth="1"/>
    <col min="2" max="2" width="39.109375" bestFit="1" customWidth="1"/>
    <col min="3" max="4" width="17.6640625" customWidth="1"/>
    <col min="5" max="5" width="1.6640625" customWidth="1"/>
    <col min="6" max="7" width="10.77734375" hidden="1" customWidth="1"/>
    <col min="8" max="10" width="5.77734375" hidden="1" customWidth="1"/>
    <col min="11" max="18" width="7.77734375" hidden="1" customWidth="1"/>
    <col min="19" max="19" width="11.109375" customWidth="1"/>
  </cols>
  <sheetData>
    <row r="1" spans="2:18" ht="12.9" customHeight="1" x14ac:dyDescent="0.25">
      <c r="B1" s="176" t="s">
        <v>51</v>
      </c>
    </row>
    <row r="2" spans="2:18" ht="18" customHeight="1" x14ac:dyDescent="0.25">
      <c r="B2" s="169" t="s">
        <v>49</v>
      </c>
      <c r="C2" s="170"/>
      <c r="D2" s="170"/>
      <c r="E2" s="17"/>
      <c r="F2" s="17"/>
      <c r="G2" s="17"/>
      <c r="H2" s="16"/>
      <c r="I2" s="16"/>
    </row>
    <row r="3" spans="2:18" ht="18" customHeight="1" x14ac:dyDescent="0.25">
      <c r="B3" s="20" t="s">
        <v>29</v>
      </c>
      <c r="C3" s="49"/>
      <c r="D3" s="49"/>
      <c r="E3" s="17"/>
      <c r="F3" s="17"/>
      <c r="G3" s="17"/>
      <c r="H3" s="16"/>
      <c r="I3" s="16"/>
    </row>
    <row r="4" spans="2:18" ht="18" customHeight="1" x14ac:dyDescent="0.25">
      <c r="B4" s="20" t="s">
        <v>28</v>
      </c>
      <c r="C4" s="49"/>
      <c r="D4" s="49"/>
      <c r="E4" s="17"/>
      <c r="F4" s="17"/>
      <c r="G4" s="17"/>
      <c r="H4" s="16"/>
      <c r="I4" s="16"/>
    </row>
    <row r="5" spans="2:18" ht="3" customHeight="1" thickBot="1" x14ac:dyDescent="0.3"/>
    <row r="6" spans="2:18" ht="18" hidden="1" customHeight="1" x14ac:dyDescent="0.3">
      <c r="B6" s="2" t="s">
        <v>6</v>
      </c>
    </row>
    <row r="7" spans="2:18" ht="18" hidden="1" customHeight="1" x14ac:dyDescent="0.25">
      <c r="B7" s="11" t="s">
        <v>2</v>
      </c>
      <c r="C7" s="7" t="s">
        <v>3</v>
      </c>
    </row>
    <row r="8" spans="2:18" ht="18" hidden="1" customHeight="1" x14ac:dyDescent="0.25">
      <c r="B8" s="4" t="s">
        <v>22</v>
      </c>
      <c r="C8" s="8" t="s">
        <v>24</v>
      </c>
      <c r="D8" s="23">
        <v>2.2549999999999999</v>
      </c>
      <c r="F8" s="13"/>
      <c r="G8" s="14"/>
      <c r="H8" s="14"/>
      <c r="I8" s="14"/>
    </row>
    <row r="9" spans="2:18" ht="18" hidden="1" customHeight="1" x14ac:dyDescent="0.25">
      <c r="B9" s="4" t="s">
        <v>19</v>
      </c>
      <c r="C9" s="8" t="s">
        <v>24</v>
      </c>
      <c r="D9" s="23">
        <v>7.85</v>
      </c>
      <c r="F9" s="15"/>
      <c r="G9" s="13"/>
      <c r="H9" s="13"/>
      <c r="I9" s="13"/>
    </row>
    <row r="10" spans="2:18" ht="18" hidden="1" customHeight="1" x14ac:dyDescent="0.25">
      <c r="B10" s="4" t="s">
        <v>23</v>
      </c>
      <c r="C10" s="8" t="s">
        <v>10</v>
      </c>
      <c r="D10" s="24">
        <v>187.18</v>
      </c>
    </row>
    <row r="11" spans="2:18" ht="18" hidden="1" customHeight="1" x14ac:dyDescent="0.25">
      <c r="B11" s="4" t="s">
        <v>9</v>
      </c>
      <c r="C11" s="8" t="s">
        <v>10</v>
      </c>
      <c r="D11" s="24">
        <v>83.33</v>
      </c>
    </row>
    <row r="12" spans="2:18" ht="18" hidden="1" customHeight="1" x14ac:dyDescent="0.25">
      <c r="B12" s="6" t="s">
        <v>7</v>
      </c>
      <c r="C12" s="5" t="s">
        <v>16</v>
      </c>
      <c r="D12" s="25">
        <v>7000</v>
      </c>
    </row>
    <row r="13" spans="2:18" ht="18" hidden="1" customHeight="1" x14ac:dyDescent="0.25">
      <c r="B13" s="6" t="s">
        <v>8</v>
      </c>
      <c r="C13" s="5" t="s">
        <v>16</v>
      </c>
      <c r="D13" s="25">
        <v>21000</v>
      </c>
    </row>
    <row r="14" spans="2:18" ht="18" hidden="1" customHeight="1" x14ac:dyDescent="0.25">
      <c r="B14" s="6" t="s">
        <v>12</v>
      </c>
      <c r="C14" s="3" t="s">
        <v>11</v>
      </c>
      <c r="D14" s="25">
        <v>1.2999999999999999E-2</v>
      </c>
    </row>
    <row r="15" spans="2:18" ht="18" hidden="1" customHeight="1" thickBot="1" x14ac:dyDescent="0.3">
      <c r="F15" s="28" t="s">
        <v>30</v>
      </c>
      <c r="G15" s="28" t="s">
        <v>31</v>
      </c>
      <c r="I15" s="97" t="s">
        <v>43</v>
      </c>
    </row>
    <row r="16" spans="2:18" ht="18" customHeight="1" x14ac:dyDescent="0.3">
      <c r="B16" s="2" t="s">
        <v>0</v>
      </c>
      <c r="F16" s="31">
        <v>5</v>
      </c>
      <c r="G16" s="29">
        <v>0.8</v>
      </c>
      <c r="I16" s="174" t="s">
        <v>33</v>
      </c>
      <c r="J16" s="175"/>
      <c r="K16" s="56">
        <v>1.1000000000000001</v>
      </c>
      <c r="L16" s="74">
        <v>1.1000000000000001</v>
      </c>
      <c r="M16" s="56">
        <v>1.2</v>
      </c>
      <c r="N16" s="64">
        <v>1.2</v>
      </c>
      <c r="O16" s="64">
        <v>1.2</v>
      </c>
      <c r="P16" s="57">
        <v>1.2</v>
      </c>
      <c r="Q16" s="64">
        <v>1.36</v>
      </c>
      <c r="R16" s="57">
        <v>1.3</v>
      </c>
    </row>
    <row r="17" spans="2:18" ht="18" customHeight="1" x14ac:dyDescent="0.25">
      <c r="B17" s="9" t="s">
        <v>2</v>
      </c>
      <c r="C17" s="12" t="s">
        <v>3</v>
      </c>
      <c r="D17" s="48" t="s">
        <v>25</v>
      </c>
      <c r="F17" s="32">
        <v>10</v>
      </c>
      <c r="G17" s="30">
        <v>0.8</v>
      </c>
      <c r="I17" s="174" t="s">
        <v>30</v>
      </c>
      <c r="J17" s="175"/>
      <c r="K17" s="58">
        <v>5</v>
      </c>
      <c r="L17" s="39">
        <v>20</v>
      </c>
      <c r="M17" s="58">
        <v>5</v>
      </c>
      <c r="N17" s="147">
        <v>10</v>
      </c>
      <c r="O17" s="147">
        <v>15</v>
      </c>
      <c r="P17" s="59">
        <v>20</v>
      </c>
      <c r="Q17" s="40">
        <v>5</v>
      </c>
      <c r="R17" s="59">
        <v>20</v>
      </c>
    </row>
    <row r="18" spans="2:18" ht="18" customHeight="1" x14ac:dyDescent="0.25">
      <c r="B18" s="4" t="s">
        <v>20</v>
      </c>
      <c r="C18" s="5" t="s">
        <v>4</v>
      </c>
      <c r="D18" s="44">
        <v>5</v>
      </c>
      <c r="F18" s="32">
        <v>15</v>
      </c>
      <c r="G18" s="30">
        <v>0.8</v>
      </c>
      <c r="H18" s="19"/>
      <c r="I18" s="166" t="s">
        <v>34</v>
      </c>
      <c r="J18" s="53">
        <v>45</v>
      </c>
      <c r="K18" s="98">
        <f>0.89*((($D$10*$D$12*10000/($D$21*$D$14*((K$16*(((VLOOKUP(K$17,$F$16:$G$22,2))*$J18))+((K$16-0.022)*($D$18/COS(K$17*PI()/180))))+($D$8/COS(K$17*PI()/180)))))^(1/3))/100)</f>
        <v>4.2199759973776416</v>
      </c>
      <c r="L18" s="99">
        <f t="shared" ref="L18:R18" si="0">0.89*((($D$10*$D$12*10000/($D$21*$D$14*((L$16*(((VLOOKUP(L$17,$F$16:$G$22,2))*$J18))+((L$16-0.022)*($D$18/COS(L$17*PI()/180))))+($D$8/COS(L$17*PI()/180)))))^(1/3))/100)</f>
        <v>4.2063344854932767</v>
      </c>
      <c r="M18" s="98">
        <f t="shared" si="0"/>
        <v>4.1045382294729649</v>
      </c>
      <c r="N18" s="98">
        <f t="shared" si="0"/>
        <v>4.1020237267408781</v>
      </c>
      <c r="O18" s="98">
        <f t="shared" si="0"/>
        <v>4.097737735826513</v>
      </c>
      <c r="P18" s="98">
        <f t="shared" si="0"/>
        <v>4.0915290923978977</v>
      </c>
      <c r="Q18" s="101">
        <f t="shared" si="0"/>
        <v>3.9433073872698432</v>
      </c>
      <c r="R18" s="100">
        <f t="shared" si="0"/>
        <v>3.9883125286940406</v>
      </c>
    </row>
    <row r="19" spans="2:18" ht="18" customHeight="1" x14ac:dyDescent="0.25">
      <c r="B19" s="4" t="s">
        <v>21</v>
      </c>
      <c r="C19" s="5" t="s">
        <v>4</v>
      </c>
      <c r="D19" s="45">
        <v>45</v>
      </c>
      <c r="F19" s="32">
        <v>20</v>
      </c>
      <c r="G19" s="30">
        <v>0.8</v>
      </c>
      <c r="I19" s="173"/>
      <c r="J19" s="54">
        <v>55</v>
      </c>
      <c r="K19" s="102">
        <f t="shared" ref="K19:R22" si="1">0.89*((($D$10*$D$12*10000/($D$21*$D$14*((K$16*(((VLOOKUP(K$17,$F$16:$G$22,2))*$J19))+((K$16-0.022)*($D$18/COS(K$17*PI()/180))))+($D$8/COS(K$17*PI()/180)))))^(1/3))/100)</f>
        <v>3.986548169174291</v>
      </c>
      <c r="L19" s="103">
        <f t="shared" si="1"/>
        <v>3.9756726340055013</v>
      </c>
      <c r="M19" s="102">
        <f t="shared" si="1"/>
        <v>3.8767233245878536</v>
      </c>
      <c r="N19" s="102">
        <f t="shared" si="1"/>
        <v>3.8747219062620046</v>
      </c>
      <c r="O19" s="102">
        <f t="shared" si="1"/>
        <v>3.8713086938261676</v>
      </c>
      <c r="P19" s="102">
        <f t="shared" si="1"/>
        <v>3.8663603772364801</v>
      </c>
      <c r="Q19" s="105">
        <f t="shared" si="1"/>
        <v>3.7234733065691299</v>
      </c>
      <c r="R19" s="104">
        <f t="shared" si="1"/>
        <v>3.7681578834496317</v>
      </c>
    </row>
    <row r="20" spans="2:18" ht="18" customHeight="1" x14ac:dyDescent="0.25">
      <c r="B20" s="4" t="s">
        <v>1</v>
      </c>
      <c r="C20" s="5" t="s">
        <v>5</v>
      </c>
      <c r="D20" s="46">
        <v>1.2</v>
      </c>
      <c r="F20" s="42">
        <v>25</v>
      </c>
      <c r="G20" s="43">
        <v>0.8</v>
      </c>
      <c r="I20" s="173"/>
      <c r="J20" s="54">
        <v>65</v>
      </c>
      <c r="K20" s="102">
        <f t="shared" si="1"/>
        <v>3.797467280304299</v>
      </c>
      <c r="L20" s="103">
        <f t="shared" si="1"/>
        <v>3.7885062131186178</v>
      </c>
      <c r="M20" s="102">
        <f t="shared" si="1"/>
        <v>3.6923155325233394</v>
      </c>
      <c r="N20" s="102">
        <f t="shared" si="1"/>
        <v>3.6906683760674563</v>
      </c>
      <c r="O20" s="102">
        <f t="shared" si="1"/>
        <v>3.6878582542070331</v>
      </c>
      <c r="P20" s="102">
        <f t="shared" si="1"/>
        <v>3.6837818848796973</v>
      </c>
      <c r="Q20" s="105">
        <f t="shared" si="1"/>
        <v>3.5456847673147824</v>
      </c>
      <c r="R20" s="104">
        <f t="shared" si="1"/>
        <v>3.5897537418513479</v>
      </c>
    </row>
    <row r="21" spans="2:18" ht="18" hidden="1" customHeight="1" x14ac:dyDescent="0.25">
      <c r="B21" s="4" t="s">
        <v>18</v>
      </c>
      <c r="C21" s="4"/>
      <c r="D21" s="47">
        <v>200</v>
      </c>
      <c r="F21" s="42">
        <v>30</v>
      </c>
      <c r="G21" s="43">
        <f>0.8*(60-$F21)/30</f>
        <v>0.8</v>
      </c>
      <c r="I21" s="173"/>
      <c r="J21" s="54">
        <v>90</v>
      </c>
      <c r="K21" s="102">
        <f t="shared" si="1"/>
        <v>3.4452529064809427</v>
      </c>
      <c r="L21" s="103">
        <f t="shared" si="1"/>
        <v>3.439174543213078</v>
      </c>
      <c r="M21" s="102">
        <f t="shared" si="1"/>
        <v>3.349070054148144</v>
      </c>
      <c r="N21" s="102">
        <f t="shared" si="1"/>
        <v>3.3479549000981024</v>
      </c>
      <c r="O21" s="102">
        <f t="shared" si="1"/>
        <v>3.3460512326938407</v>
      </c>
      <c r="P21" s="102">
        <f t="shared" si="1"/>
        <v>3.3432871573321878</v>
      </c>
      <c r="Q21" s="105">
        <f t="shared" si="1"/>
        <v>3.2150910465618652</v>
      </c>
      <c r="R21" s="104">
        <f t="shared" si="1"/>
        <v>3.2572713397731854</v>
      </c>
    </row>
    <row r="22" spans="2:18" ht="18" customHeight="1" thickBot="1" x14ac:dyDescent="0.3">
      <c r="B22" s="41" t="s">
        <v>36</v>
      </c>
      <c r="C22" s="38"/>
      <c r="D22" s="45">
        <v>10</v>
      </c>
      <c r="F22" s="28" t="s">
        <v>32</v>
      </c>
      <c r="G22" s="33">
        <f>VLOOKUP($D$22,F16:G21,2)</f>
        <v>0.8</v>
      </c>
      <c r="I22" s="168"/>
      <c r="J22" s="134">
        <v>140</v>
      </c>
      <c r="K22" s="139">
        <f t="shared" si="1"/>
        <v>3.0053844524808211</v>
      </c>
      <c r="L22" s="141">
        <f t="shared" si="1"/>
        <v>3.0018606028635619</v>
      </c>
      <c r="M22" s="139">
        <f t="shared" si="1"/>
        <v>2.920804317377677</v>
      </c>
      <c r="N22" s="139">
        <f t="shared" si="1"/>
        <v>2.9201590419203658</v>
      </c>
      <c r="O22" s="139">
        <f t="shared" si="1"/>
        <v>2.9190568306682279</v>
      </c>
      <c r="P22" s="139">
        <f t="shared" si="1"/>
        <v>2.917454947569325</v>
      </c>
      <c r="Q22" s="142">
        <f t="shared" si="1"/>
        <v>2.8031134515137519</v>
      </c>
      <c r="R22" s="140">
        <f t="shared" si="1"/>
        <v>2.841806941907449</v>
      </c>
    </row>
    <row r="23" spans="2:18" ht="18" customHeight="1" thickBot="1" x14ac:dyDescent="0.3">
      <c r="I23" s="97" t="s">
        <v>44</v>
      </c>
    </row>
    <row r="24" spans="2:18" ht="18" customHeight="1" x14ac:dyDescent="0.3">
      <c r="B24" s="2" t="s">
        <v>17</v>
      </c>
      <c r="C24" s="21" t="s">
        <v>14</v>
      </c>
      <c r="D24" s="22" t="s">
        <v>27</v>
      </c>
      <c r="I24" s="166" t="s">
        <v>34</v>
      </c>
      <c r="J24" s="51">
        <v>45</v>
      </c>
      <c r="K24" s="124"/>
      <c r="L24" s="125"/>
      <c r="M24" s="126"/>
      <c r="N24" s="161"/>
      <c r="O24" s="161"/>
      <c r="P24" s="127"/>
      <c r="Q24" s="124"/>
      <c r="R24" s="127"/>
    </row>
    <row r="25" spans="2:18" ht="18" hidden="1" customHeight="1" x14ac:dyDescent="0.3">
      <c r="B25" s="10" t="s">
        <v>13</v>
      </c>
      <c r="C25" s="35">
        <f>($D$20*$G$22*$D$19)+(($D$20-0.022)*(D18/COS($D$22*PI()/180)))+($D$8/COS($D$22*PI()/180))</f>
        <v>51.470649753809383</v>
      </c>
      <c r="D25" s="35">
        <f>($D$20*$G$22*$D$19)+(($D$20-0.022)*(D18/COS($D$22*PI()/180)))+(($D$8+(2*$D$9))/COS($D$22*PI()/180))</f>
        <v>67.412847560415571</v>
      </c>
      <c r="I25" s="167"/>
      <c r="J25" s="52">
        <v>55</v>
      </c>
      <c r="K25" s="118"/>
      <c r="L25" s="128"/>
      <c r="M25" s="120"/>
      <c r="N25" s="162"/>
      <c r="O25" s="162"/>
      <c r="P25" s="119"/>
      <c r="Q25" s="118"/>
      <c r="R25" s="119"/>
    </row>
    <row r="26" spans="2:18" ht="18" customHeight="1" x14ac:dyDescent="0.3">
      <c r="B26" s="10" t="s">
        <v>50</v>
      </c>
      <c r="C26" s="50">
        <f>0.89*((($D$10*$D$12*10000/($D$21*$D$14*$C$25))^(1/3))/100)</f>
        <v>4.1020237267408781</v>
      </c>
      <c r="D26" s="50">
        <f>0.92*((((($D$10*$D$12)+(2*(D11*D13)))*10000/($D$21*$D$14*$D$25))^(1/3))/100)</f>
        <v>5.9786223900236752</v>
      </c>
      <c r="I26" s="167"/>
      <c r="J26" s="52">
        <v>65</v>
      </c>
      <c r="K26" s="118"/>
      <c r="L26" s="128"/>
      <c r="M26" s="120"/>
      <c r="N26" s="162"/>
      <c r="O26" s="162"/>
      <c r="P26" s="119"/>
      <c r="Q26" s="118"/>
      <c r="R26" s="119"/>
    </row>
    <row r="27" spans="2:18" ht="18" customHeight="1" x14ac:dyDescent="0.25">
      <c r="I27" s="167"/>
      <c r="J27" s="52">
        <v>90</v>
      </c>
      <c r="K27" s="118"/>
      <c r="L27" s="128"/>
      <c r="M27" s="120"/>
      <c r="N27" s="162"/>
      <c r="O27" s="162"/>
      <c r="P27" s="119"/>
      <c r="Q27" s="118"/>
      <c r="R27" s="119"/>
    </row>
    <row r="28" spans="2:18" ht="18" customHeight="1" thickBot="1" x14ac:dyDescent="0.3">
      <c r="I28" s="168"/>
      <c r="J28" s="72">
        <v>140</v>
      </c>
      <c r="K28" s="121"/>
      <c r="L28" s="129"/>
      <c r="M28" s="123"/>
      <c r="N28" s="163"/>
      <c r="O28" s="163"/>
      <c r="P28" s="122"/>
      <c r="Q28" s="121"/>
      <c r="R28" s="122"/>
    </row>
    <row r="29" spans="2:18" ht="18" customHeight="1" thickBot="1" x14ac:dyDescent="0.3">
      <c r="I29" s="97" t="s">
        <v>45</v>
      </c>
    </row>
    <row r="30" spans="2:18" ht="18" customHeight="1" x14ac:dyDescent="0.25">
      <c r="I30" s="166" t="s">
        <v>34</v>
      </c>
      <c r="J30" s="53">
        <v>45</v>
      </c>
      <c r="K30" s="143">
        <f>0.92*((((($D$10*$D$12)+(($D$11*2)*$D$13))*10000/($D$21*$D$14*((K$16*(((VLOOKUP(K$17,$F$16:$G$22,2))*$J24))+((K$16-0.022)*($D$18/COS(K$17*PI()/180))))+(($D$8+($D$9*2))/COS(K$17*PI()/180)))))^(1/3))/100)</f>
        <v>6.1139703188159045</v>
      </c>
      <c r="L30" s="144">
        <f t="shared" ref="L30:R30" si="2">0.92*((((($D$10*$D$12)+(($D$11*2)*$D$13))*10000/($D$21*$D$14*((L$16*(((VLOOKUP(L$17,$F$16:$G$22,2))*$J24))+((L$16-0.022)*($D$18/COS(L$17*PI()/180))))+(($D$8+($D$9*2))/COS(L$17*PI()/180)))))^(1/3))/100)</f>
        <v>6.0690807357866605</v>
      </c>
      <c r="M30" s="164">
        <f t="shared" si="2"/>
        <v>5.9868266025829557</v>
      </c>
      <c r="N30" s="165">
        <f t="shared" ref="N30:P30" si="3">0.92*((((($D$10*$D$12)+(($D$11*2)*$D$13))*10000/($D$21*$D$14*((N$16*(((VLOOKUP(N$17,$F$16:$G$22,2))*$J24))+((N$16-0.022)*($D$18/COS(N$17*PI()/180))))+(($D$8+($D$9*2))/COS(N$17*PI()/180)))))^(1/3))/100)</f>
        <v>5.9786223900236752</v>
      </c>
      <c r="O30" s="165">
        <f t="shared" si="3"/>
        <v>5.9646953414241253</v>
      </c>
      <c r="P30" s="165">
        <f t="shared" si="3"/>
        <v>5.9446469827163524</v>
      </c>
      <c r="Q30" s="146">
        <f t="shared" si="2"/>
        <v>5.8035608436170039</v>
      </c>
      <c r="R30" s="145">
        <f t="shared" si="2"/>
        <v>5.8298287075766702</v>
      </c>
    </row>
    <row r="31" spans="2:18" ht="18" customHeight="1" x14ac:dyDescent="0.25">
      <c r="I31" s="167"/>
      <c r="J31" s="54">
        <v>55</v>
      </c>
      <c r="K31" s="102">
        <f t="shared" ref="K31:R34" si="4">0.92*((((($D$10*$D$12)+(($D$11*2)*$D$13))*10000/($D$21*$D$14*((K$16*(((VLOOKUP(K$17,$F$16:$G$22,2))*$J25))+((K$16-0.022)*($D$18/COS(K$17*PI()/180))))+(($D$8+($D$9*2))/COS(K$17*PI()/180)))))^(1/3))/100)</f>
        <v>5.8533565672635843</v>
      </c>
      <c r="L31" s="103">
        <f t="shared" si="4"/>
        <v>5.8155775595344368</v>
      </c>
      <c r="M31" s="148">
        <f t="shared" si="4"/>
        <v>5.7259665173641796</v>
      </c>
      <c r="N31" s="149">
        <f t="shared" ref="N31:P31" si="5">0.92*((((($D$10*$D$12)+(($D$11*2)*$D$13))*10000/($D$21*$D$14*((N$16*(((VLOOKUP(N$17,$F$16:$G$22,2))*$J25))+((N$16-0.022)*($D$18/COS(N$17*PI()/180))))+(($D$8+($D$9*2))/COS(N$17*PI()/180)))))^(1/3))/100)</f>
        <v>5.719099087859643</v>
      </c>
      <c r="O31" s="149">
        <f t="shared" si="5"/>
        <v>5.7074305348126178</v>
      </c>
      <c r="P31" s="149">
        <f t="shared" si="5"/>
        <v>5.6906096285678105</v>
      </c>
      <c r="Q31" s="105">
        <f t="shared" si="4"/>
        <v>5.543204831995217</v>
      </c>
      <c r="R31" s="104">
        <f t="shared" si="4"/>
        <v>5.5757347181585839</v>
      </c>
    </row>
    <row r="32" spans="2:18" ht="18" customHeight="1" x14ac:dyDescent="0.25">
      <c r="I32" s="167"/>
      <c r="J32" s="54">
        <v>65</v>
      </c>
      <c r="K32" s="102">
        <f t="shared" si="4"/>
        <v>5.6321684356899704</v>
      </c>
      <c r="L32" s="103">
        <f t="shared" si="4"/>
        <v>5.5997387363625339</v>
      </c>
      <c r="M32" s="148">
        <f t="shared" si="4"/>
        <v>5.5053453350912012</v>
      </c>
      <c r="N32" s="149">
        <f t="shared" ref="N32:P32" si="6">0.92*((((($D$10*$D$12)+(($D$11*2)*$D$13))*10000/($D$21*$D$14*((N$16*(((VLOOKUP(N$17,$F$16:$G$22,2))*$J26))+((N$16-0.022)*($D$18/COS(N$17*PI()/180))))+(($D$8+($D$9*2))/COS(N$17*PI()/180)))))^(1/3))/100)</f>
        <v>5.499475133428958</v>
      </c>
      <c r="O32" s="149">
        <f t="shared" si="6"/>
        <v>5.4894938197013881</v>
      </c>
      <c r="P32" s="149">
        <f t="shared" si="6"/>
        <v>5.4750893320873857</v>
      </c>
      <c r="Q32" s="105">
        <f t="shared" si="4"/>
        <v>5.3240587931200638</v>
      </c>
      <c r="R32" s="104">
        <f t="shared" si="4"/>
        <v>5.3608461338321005</v>
      </c>
    </row>
    <row r="33" spans="4:18" ht="18" customHeight="1" x14ac:dyDescent="0.25">
      <c r="I33" s="167"/>
      <c r="J33" s="54">
        <v>90</v>
      </c>
      <c r="K33" s="102">
        <f t="shared" si="4"/>
        <v>5.1969836565646954</v>
      </c>
      <c r="L33" s="103">
        <f t="shared" si="4"/>
        <v>5.1734160502586741</v>
      </c>
      <c r="M33" s="148">
        <f t="shared" si="4"/>
        <v>5.073131965766728</v>
      </c>
      <c r="N33" s="149">
        <f t="shared" ref="N33:P33" si="7">0.92*((((($D$10*$D$12)+(($D$11*2)*$D$13))*10000/($D$21*$D$14*((N$16*(((VLOOKUP(N$17,$F$16:$G$22,2))*$J27))+((N$16-0.022)*($D$18/COS(N$17*PI()/180))))+(($D$8+($D$9*2))/COS(N$17*PI()/180)))))^(1/3))/100)</f>
        <v>5.0688972841083988</v>
      </c>
      <c r="O33" s="149">
        <f t="shared" si="7"/>
        <v>5.0616878942406069</v>
      </c>
      <c r="P33" s="149">
        <f t="shared" si="7"/>
        <v>5.0512637121498249</v>
      </c>
      <c r="Q33" s="105">
        <f t="shared" si="4"/>
        <v>4.8972098013202263</v>
      </c>
      <c r="R33" s="104">
        <f t="shared" si="4"/>
        <v>4.9398876629794213</v>
      </c>
    </row>
    <row r="34" spans="4:18" ht="18" customHeight="1" thickBot="1" x14ac:dyDescent="0.3">
      <c r="I34" s="168"/>
      <c r="J34" s="134">
        <v>140</v>
      </c>
      <c r="K34" s="139">
        <f t="shared" si="4"/>
        <v>4.6142765086703958</v>
      </c>
      <c r="L34" s="141">
        <f t="shared" si="4"/>
        <v>4.5995904573937914</v>
      </c>
      <c r="M34" s="150">
        <f t="shared" si="4"/>
        <v>4.4976816778170035</v>
      </c>
      <c r="N34" s="151">
        <f t="shared" ref="N34:P34" si="8">0.92*((((($D$10*$D$12)+(($D$11*2)*$D$13))*10000/($D$21*$D$14*((N$16*(((VLOOKUP(N$17,$F$16:$G$22,2))*$J28))+((N$16-0.022)*($D$18/COS(N$17*PI()/180))))+(($D$8+($D$9*2))/COS(N$17*PI()/180)))))^(1/3))/100)</f>
        <v>4.4950641534225522</v>
      </c>
      <c r="O34" s="151">
        <f t="shared" si="8"/>
        <v>4.4906018218212109</v>
      </c>
      <c r="P34" s="151">
        <f t="shared" si="8"/>
        <v>4.4841360830007648</v>
      </c>
      <c r="Q34" s="142">
        <f t="shared" si="4"/>
        <v>4.3332049603910647</v>
      </c>
      <c r="R34" s="140">
        <f t="shared" si="4"/>
        <v>4.3794649405555566</v>
      </c>
    </row>
    <row r="35" spans="4:18" ht="18" customHeight="1" x14ac:dyDescent="0.25"/>
    <row r="36" spans="4:18" ht="18" customHeight="1" x14ac:dyDescent="0.25"/>
    <row r="37" spans="4:18" ht="18" customHeight="1" x14ac:dyDescent="0.3">
      <c r="D37" s="1"/>
    </row>
    <row r="38" spans="4:18" ht="18" customHeight="1" x14ac:dyDescent="0.25"/>
    <row r="39" spans="4:18" ht="18" customHeight="1" x14ac:dyDescent="0.25"/>
    <row r="40" spans="4:18" ht="18" customHeight="1" x14ac:dyDescent="0.25"/>
    <row r="41" spans="4:18" ht="18" customHeight="1" x14ac:dyDescent="0.25"/>
    <row r="42" spans="4:18" ht="18" customHeight="1" x14ac:dyDescent="0.25"/>
    <row r="43" spans="4:18" ht="20.100000000000001" customHeight="1" x14ac:dyDescent="0.25"/>
    <row r="44" spans="4:18" ht="20.100000000000001" customHeight="1" x14ac:dyDescent="0.25"/>
    <row r="45" spans="4:18" ht="20.100000000000001" customHeight="1" x14ac:dyDescent="0.25"/>
    <row r="46" spans="4:18" ht="20.100000000000001" customHeight="1" x14ac:dyDescent="0.25"/>
    <row r="47" spans="4:18" ht="20.100000000000001" customHeight="1" x14ac:dyDescent="0.25"/>
    <row r="48" spans="4:18" ht="20.100000000000001" customHeight="1" x14ac:dyDescent="0.25"/>
    <row r="49" ht="20.100000000000001" customHeight="1" x14ac:dyDescent="0.25"/>
    <row r="50" ht="20.100000000000001" customHeight="1" x14ac:dyDescent="0.25"/>
  </sheetData>
  <sheetProtection algorithmName="SHA-512" hashValue="eoY7g0MKomESl5jVrA/FsR7s2MNggOIPfhN586A337dvzwJVz9h0XZbqZufOkYYl6f1up92v5e3RuDHHSnBlPA==" saltValue="YlynkvBI/5FtFWNa0pCtYA==" spinCount="100000" sheet="1" objects="1" scenarios="1"/>
  <mergeCells count="6">
    <mergeCell ref="I30:I34"/>
    <mergeCell ref="B2:D2"/>
    <mergeCell ref="I16:J16"/>
    <mergeCell ref="I17:J17"/>
    <mergeCell ref="I18:I22"/>
    <mergeCell ref="I24:I28"/>
  </mergeCells>
  <pageMargins left="0.39370078740157483" right="0" top="0.39370078740157483" bottom="0" header="0" footer="0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PORTEE Renf Fe 50x90x3 vitrage</vt:lpstr>
      <vt:lpstr>PORTEE Renf Fe 10x100 vitrage</vt:lpstr>
      <vt:lpstr>PORTEE Renf Fe 50x90x3 plaque</vt:lpstr>
      <vt:lpstr>PORTEE Renf Fe 10x100 plaque</vt:lpstr>
      <vt:lpstr>'PORTEE Renf Fe 10x100 plaque'!Pente</vt:lpstr>
      <vt:lpstr>'PORTEE Renf Fe 10x100 vitrage'!Pente</vt:lpstr>
      <vt:lpstr>'PORTEE Renf Fe 50x90x3 plaque'!Pente</vt:lpstr>
      <vt:lpstr>'PORTEE Renf Fe 50x90x3 vitrage'!Pente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 d'Etudes</dc:creator>
  <cp:lastModifiedBy>Bart COUSSENS</cp:lastModifiedBy>
  <cp:lastPrinted>2020-12-16T12:32:59Z</cp:lastPrinted>
  <dcterms:created xsi:type="dcterms:W3CDTF">1999-01-14T13:32:56Z</dcterms:created>
  <dcterms:modified xsi:type="dcterms:W3CDTF">2021-02-18T09:30:02Z</dcterms:modified>
</cp:coreProperties>
</file>