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andriaalu-my.sharepoint.com/personal/bcoussens_flandria_com/Documents/Documents/Documents_Bart/DONNEES TOITURES/PATIO st/INERTIES/CALCULS/CHEVRON/"/>
    </mc:Choice>
  </mc:AlternateContent>
  <xr:revisionPtr revIDLastSave="3" documentId="13_ncr:1_{3CAF084A-87D9-482A-852B-4A0F9219DA22}" xr6:coauthVersionLast="46" xr6:coauthVersionMax="46" xr10:uidLastSave="{A4EC0A68-55D6-4DD1-A50A-C94FAF32FC90}"/>
  <bookViews>
    <workbookView xWindow="-108" yWindow="-108" windowWidth="23256" windowHeight="12576" activeTab="1" xr2:uid="{00000000-000D-0000-FFFF-FFFF00000000}"/>
  </bookViews>
  <sheets>
    <sheet name="PORTEE vitrage" sheetId="3" r:id="rId1"/>
    <sheet name="PORTEE plaque" sheetId="5" r:id="rId2"/>
  </sheets>
  <definedNames>
    <definedName name="Appuis">#REF!</definedName>
    <definedName name="Coeff">#REF!</definedName>
    <definedName name="Coeff_Pente">#REF!</definedName>
    <definedName name="EIprofil">#REF!</definedName>
    <definedName name="EItotal">#REF!</definedName>
    <definedName name="Eprofil">#REF!</definedName>
    <definedName name="Erenfort">#REF!</definedName>
    <definedName name="f_Acryl">#REF!</definedName>
    <definedName name="f_DV">#REF!</definedName>
    <definedName name="f_VF">#REF!</definedName>
    <definedName name="Iprofil">#REF!</definedName>
    <definedName name="Irenfort">#REF!</definedName>
    <definedName name="P_Acryl">#REF!</definedName>
    <definedName name="P_DV">#REF!</definedName>
    <definedName name="P_VF">#REF!</definedName>
    <definedName name="Pente" localSheetId="1">'PORTEE plaque'!$F$16:$F$23</definedName>
    <definedName name="Pente">'PORTEE vitrage'!$F$16:$F$23</definedName>
    <definedName name="Pprofil">#REF!</definedName>
    <definedName name="Prenfort">#REF!</definedName>
    <definedName name="Profil">#REF!</definedName>
    <definedName name="réduction">#REF!</definedName>
    <definedName name="Rég.A">#REF!</definedName>
    <definedName name="Rég.B">#REF!</definedName>
    <definedName name="Rég.C">#REF!</definedName>
    <definedName name="Rég.D">#REF!</definedName>
    <definedName name="résultan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4" i="5" l="1"/>
  <c r="M24" i="5"/>
  <c r="N24" i="5"/>
  <c r="O24" i="5"/>
  <c r="P24" i="5"/>
  <c r="L25" i="5"/>
  <c r="M25" i="5"/>
  <c r="N25" i="5"/>
  <c r="O25" i="5"/>
  <c r="P25" i="5"/>
  <c r="L26" i="5"/>
  <c r="M26" i="5"/>
  <c r="N26" i="5"/>
  <c r="O26" i="5"/>
  <c r="P26" i="5"/>
  <c r="L27" i="5"/>
  <c r="M27" i="5"/>
  <c r="N27" i="5"/>
  <c r="O27" i="5"/>
  <c r="P27" i="5"/>
  <c r="L28" i="5"/>
  <c r="M28" i="5"/>
  <c r="N28" i="5"/>
  <c r="O28" i="5"/>
  <c r="P28" i="5"/>
  <c r="K25" i="5"/>
  <c r="K26" i="5"/>
  <c r="K27" i="5"/>
  <c r="K28" i="5"/>
  <c r="K24" i="5"/>
  <c r="L18" i="5"/>
  <c r="M18" i="5"/>
  <c r="N18" i="5"/>
  <c r="O18" i="5"/>
  <c r="P18" i="5"/>
  <c r="L19" i="5"/>
  <c r="M19" i="5"/>
  <c r="N19" i="5"/>
  <c r="O19" i="5"/>
  <c r="P19" i="5"/>
  <c r="L20" i="5"/>
  <c r="M20" i="5"/>
  <c r="N20" i="5"/>
  <c r="O20" i="5"/>
  <c r="P20" i="5"/>
  <c r="L21" i="5"/>
  <c r="M21" i="5"/>
  <c r="N21" i="5"/>
  <c r="O21" i="5"/>
  <c r="P21" i="5"/>
  <c r="L22" i="5"/>
  <c r="M22" i="5"/>
  <c r="N22" i="5"/>
  <c r="O22" i="5"/>
  <c r="P22" i="5"/>
  <c r="K19" i="5"/>
  <c r="K20" i="5"/>
  <c r="K21" i="5"/>
  <c r="K22" i="5"/>
  <c r="K18" i="5"/>
  <c r="L24" i="3"/>
  <c r="M24" i="3"/>
  <c r="N24" i="3"/>
  <c r="O24" i="3"/>
  <c r="P24" i="3"/>
  <c r="L25" i="3"/>
  <c r="M25" i="3"/>
  <c r="N25" i="3"/>
  <c r="O25" i="3"/>
  <c r="P25" i="3"/>
  <c r="L26" i="3"/>
  <c r="M26" i="3"/>
  <c r="N26" i="3"/>
  <c r="O26" i="3"/>
  <c r="P26" i="3"/>
  <c r="L27" i="3"/>
  <c r="M27" i="3"/>
  <c r="N27" i="3"/>
  <c r="O27" i="3"/>
  <c r="P27" i="3"/>
  <c r="L28" i="3"/>
  <c r="M28" i="3"/>
  <c r="N28" i="3"/>
  <c r="O28" i="3"/>
  <c r="P28" i="3"/>
  <c r="K25" i="3"/>
  <c r="K26" i="3"/>
  <c r="K27" i="3"/>
  <c r="K28" i="3"/>
  <c r="K24" i="3"/>
  <c r="L18" i="3"/>
  <c r="M18" i="3"/>
  <c r="N18" i="3"/>
  <c r="O18" i="3"/>
  <c r="P18" i="3"/>
  <c r="L19" i="3"/>
  <c r="M19" i="3"/>
  <c r="N19" i="3"/>
  <c r="O19" i="3"/>
  <c r="P19" i="3"/>
  <c r="L20" i="3"/>
  <c r="M20" i="3"/>
  <c r="N20" i="3"/>
  <c r="O20" i="3"/>
  <c r="P20" i="3"/>
  <c r="L21" i="3"/>
  <c r="M21" i="3"/>
  <c r="N21" i="3"/>
  <c r="O21" i="3"/>
  <c r="P21" i="3"/>
  <c r="L22" i="3"/>
  <c r="M22" i="3"/>
  <c r="N22" i="3"/>
  <c r="O22" i="3"/>
  <c r="P22" i="3"/>
  <c r="K19" i="3"/>
  <c r="K20" i="3"/>
  <c r="K21" i="3"/>
  <c r="K22" i="3"/>
  <c r="K18" i="3"/>
  <c r="D25" i="5" l="1"/>
  <c r="D26" i="5" s="1"/>
  <c r="C25" i="5"/>
  <c r="C26" i="5" s="1"/>
  <c r="G22" i="5"/>
  <c r="G21" i="5"/>
  <c r="D25" i="3" l="1"/>
  <c r="D26" i="3" s="1"/>
  <c r="C25" i="3"/>
  <c r="G22" i="3" l="1"/>
  <c r="G21" i="3"/>
  <c r="C26" i="3" l="1"/>
</calcChain>
</file>

<file path=xl/sharedStrings.xml><?xml version="1.0" encoding="utf-8"?>
<sst xmlns="http://schemas.openxmlformats.org/spreadsheetml/2006/main" count="94" uniqueCount="43">
  <si>
    <t>Kg/m²</t>
  </si>
  <si>
    <t>m</t>
  </si>
  <si>
    <t>Pente</t>
  </si>
  <si>
    <t>Valeur</t>
  </si>
  <si>
    <t>cm4</t>
  </si>
  <si>
    <t>5/384</t>
  </si>
  <si>
    <t>Constante '2 appuis simples'</t>
  </si>
  <si>
    <t>Kg/mm²</t>
  </si>
  <si>
    <t>Kg/m</t>
  </si>
  <si>
    <t>Poids chevron</t>
  </si>
  <si>
    <t>Poids renfort</t>
  </si>
  <si>
    <t>I chevron</t>
  </si>
  <si>
    <t>I renfort</t>
  </si>
  <si>
    <t>E Alu</t>
  </si>
  <si>
    <t>déscription</t>
  </si>
  <si>
    <t>Poids remplissage</t>
  </si>
  <si>
    <t>Charge de neige</t>
  </si>
  <si>
    <t>Distance entre chevrons</t>
  </si>
  <si>
    <t>Constante 'flèche maximale'</t>
  </si>
  <si>
    <t>sans renfort</t>
  </si>
  <si>
    <t>avec renfort</t>
  </si>
  <si>
    <t>unité</t>
  </si>
  <si>
    <t>valeurs à remplir</t>
  </si>
  <si>
    <t>Valeurs variables</t>
  </si>
  <si>
    <t>Calcul</t>
  </si>
  <si>
    <t>Valeurs fixes</t>
  </si>
  <si>
    <t>Chevron 431874</t>
  </si>
  <si>
    <t>E Fe</t>
  </si>
  <si>
    <t>Kg/</t>
  </si>
  <si>
    <t>Poids sur chevron</t>
  </si>
  <si>
    <t>Renfort   739025 (Fe 90x50x3)</t>
  </si>
  <si>
    <t xml:space="preserve">nu = </t>
  </si>
  <si>
    <t>Pas chevron</t>
  </si>
  <si>
    <t>Charge neige</t>
  </si>
  <si>
    <r>
      <t xml:space="preserve">Version 09/2020   </t>
    </r>
    <r>
      <rPr>
        <sz val="10"/>
        <color rgb="FFFF0000"/>
        <rFont val="Arial"/>
        <family val="2"/>
      </rPr>
      <t>Ces valeurs sont données a titre indicatif et n'engagent pas Flandria !</t>
    </r>
  </si>
  <si>
    <t>PROFONDEUR PATIO st chevron avec renfort / Flèche maxi=L/200 / Plaque</t>
  </si>
  <si>
    <r>
      <t xml:space="preserve">PROFONDEUR PATIO st chevron </t>
    </r>
    <r>
      <rPr>
        <u/>
        <sz val="10"/>
        <color rgb="FF0000CC"/>
        <rFont val="MS Sans Serif"/>
        <family val="2"/>
      </rPr>
      <t>sans</t>
    </r>
    <r>
      <rPr>
        <sz val="10"/>
        <color rgb="FF0000CC"/>
        <rFont val="MS Sans Serif"/>
        <family val="2"/>
      </rPr>
      <t xml:space="preserve"> renfort / Flèche maxi=L/200 / Vitrage</t>
    </r>
  </si>
  <si>
    <t>PROFONDEUR PATIO st chevron avec renfort / Flèche maxi=L/200 / Vitrage</t>
  </si>
  <si>
    <r>
      <t xml:space="preserve">PROFONDEUR PATIO st chevron </t>
    </r>
    <r>
      <rPr>
        <u/>
        <sz val="10"/>
        <color rgb="FFFF0000"/>
        <rFont val="MS Sans Serif"/>
        <family val="2"/>
      </rPr>
      <t>sans</t>
    </r>
    <r>
      <rPr>
        <sz val="10"/>
        <color rgb="FFFF0000"/>
        <rFont val="MS Sans Serif"/>
        <family val="2"/>
      </rPr>
      <t xml:space="preserve"> renfort / Flèche maxi=L/200 / Plaque</t>
    </r>
  </si>
  <si>
    <r>
      <t xml:space="preserve">P A T I O st   PORTEE CHEVRON </t>
    </r>
    <r>
      <rPr>
        <b/>
        <i/>
        <sz val="12"/>
        <color rgb="FF0000CC"/>
        <rFont val="MS Sans Serif"/>
      </rPr>
      <t>vitrage</t>
    </r>
  </si>
  <si>
    <r>
      <t xml:space="preserve">P A T I O st   PORTEE CHEVRON </t>
    </r>
    <r>
      <rPr>
        <b/>
        <i/>
        <sz val="12"/>
        <color rgb="FF0000CC"/>
        <rFont val="MS Sans Serif"/>
      </rPr>
      <t>plaque</t>
    </r>
  </si>
  <si>
    <t>Profondeur (m) maxi</t>
  </si>
  <si>
    <t>Ces valeurs sont données a titre indicatif et n'engagent pas Flandria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</si>
</sst>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&quot;  Kg/m&quot;"/>
    <numFmt numFmtId="166" formatCode="0.0"/>
  </numFmts>
  <fonts count="23" x14ac:knownFonts="1">
    <font>
      <sz val="10"/>
      <name val="MS Sans Serif"/>
    </font>
    <font>
      <b/>
      <sz val="12"/>
      <name val="MS Sans Serif"/>
      <family val="2"/>
    </font>
    <font>
      <b/>
      <sz val="10"/>
      <name val="MS Sans Serif"/>
      <family val="2"/>
    </font>
    <font>
      <sz val="12"/>
      <name val="MS Sans Serif"/>
      <family val="2"/>
    </font>
    <font>
      <b/>
      <sz val="12"/>
      <color indexed="9"/>
      <name val="MS Sans Serif"/>
      <family val="2"/>
    </font>
    <font>
      <b/>
      <u/>
      <sz val="10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2"/>
      <name val="MS Sans Serif"/>
      <family val="2"/>
    </font>
    <font>
      <b/>
      <i/>
      <sz val="12"/>
      <color indexed="9"/>
      <name val="MS Sans Serif"/>
      <family val="2"/>
    </font>
    <font>
      <b/>
      <i/>
      <sz val="10"/>
      <color indexed="9"/>
      <name val="MS Sans Serif"/>
      <family val="2"/>
    </font>
    <font>
      <b/>
      <sz val="12"/>
      <color indexed="10"/>
      <name val="MS Sans Serif"/>
      <family val="2"/>
    </font>
    <font>
      <sz val="10"/>
      <name val="MS Sans Serif"/>
      <family val="2"/>
    </font>
    <font>
      <b/>
      <sz val="12"/>
      <color indexed="12"/>
      <name val="MS Sans Serif"/>
      <family val="2"/>
    </font>
    <font>
      <i/>
      <sz val="10"/>
      <name val="MS Sans Serif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00CC"/>
      <name val="MS Sans Serif"/>
      <family val="2"/>
    </font>
    <font>
      <u/>
      <sz val="10"/>
      <color rgb="FF0000CC"/>
      <name val="MS Sans Serif"/>
      <family val="2"/>
    </font>
    <font>
      <b/>
      <sz val="1"/>
      <name val="MS Sans Serif"/>
      <family val="2"/>
    </font>
    <font>
      <sz val="10"/>
      <color rgb="FFFF0000"/>
      <name val="MS Sans Serif"/>
      <family val="2"/>
    </font>
    <font>
      <u/>
      <sz val="10"/>
      <color rgb="FFFF0000"/>
      <name val="MS Sans Serif"/>
      <family val="2"/>
    </font>
    <font>
      <b/>
      <i/>
      <sz val="12"/>
      <color rgb="FF0000CC"/>
      <name val="MS Sans Serif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0" xfId="0" applyFont="1"/>
    <xf numFmtId="0" fontId="4" fillId="2" borderId="0" xfId="0" applyFont="1" applyFill="1"/>
    <xf numFmtId="0" fontId="0" fillId="0" borderId="1" xfId="0" applyBorder="1" applyAlignment="1">
      <alignment horizontal="right"/>
    </xf>
    <xf numFmtId="0" fontId="0" fillId="0" borderId="1" xfId="0" applyBorder="1"/>
    <xf numFmtId="0" fontId="6" fillId="0" borderId="1" xfId="0" applyFont="1" applyBorder="1" applyAlignment="1">
      <alignment horizontal="right"/>
    </xf>
    <xf numFmtId="0" fontId="0" fillId="0" borderId="2" xfId="0" applyBorder="1"/>
    <xf numFmtId="0" fontId="6" fillId="0" borderId="3" xfId="0" applyFont="1" applyBorder="1" applyAlignment="1">
      <alignment horizontal="right"/>
    </xf>
    <xf numFmtId="0" fontId="3" fillId="0" borderId="2" xfId="0" applyFont="1" applyBorder="1"/>
    <xf numFmtId="0" fontId="5" fillId="0" borderId="1" xfId="0" applyFont="1" applyBorder="1"/>
    <xf numFmtId="0" fontId="0" fillId="0" borderId="4" xfId="0" applyBorder="1"/>
    <xf numFmtId="0" fontId="0" fillId="0" borderId="0" xfId="0" applyBorder="1"/>
    <xf numFmtId="0" fontId="2" fillId="0" borderId="0" xfId="0" applyFont="1" applyBorder="1" applyAlignment="1">
      <alignment horizontal="right"/>
    </xf>
    <xf numFmtId="0" fontId="7" fillId="0" borderId="0" xfId="0" applyFont="1" applyBorder="1"/>
    <xf numFmtId="0" fontId="0" fillId="0" borderId="0" xfId="0" applyBorder="1" applyAlignment="1">
      <alignment horizontal="right"/>
    </xf>
    <xf numFmtId="0" fontId="0" fillId="0" borderId="0" xfId="0" applyBorder="1" applyAlignment="1"/>
    <xf numFmtId="0" fontId="10" fillId="0" borderId="0" xfId="0" applyFont="1" applyFill="1" applyAlignment="1">
      <alignment horizontal="center" vertical="center"/>
    </xf>
    <xf numFmtId="0" fontId="0" fillId="0" borderId="6" xfId="0" applyBorder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13" fillId="0" borderId="1" xfId="0" applyFont="1" applyBorder="1" applyAlignment="1">
      <alignment horizontal="center"/>
    </xf>
    <xf numFmtId="0" fontId="5" fillId="0" borderId="5" xfId="0" applyFont="1" applyFill="1" applyBorder="1"/>
    <xf numFmtId="0" fontId="2" fillId="0" borderId="3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2" fillId="0" borderId="1" xfId="0" applyFont="1" applyBorder="1" applyAlignment="1">
      <alignment horizontal="left"/>
    </xf>
    <xf numFmtId="14" fontId="15" fillId="0" borderId="0" xfId="0" applyNumberFormat="1" applyFont="1" applyAlignment="1">
      <alignment horizontal="left"/>
    </xf>
    <xf numFmtId="164" fontId="12" fillId="4" borderId="1" xfId="0" applyNumberFormat="1" applyFont="1" applyFill="1" applyBorder="1"/>
    <xf numFmtId="0" fontId="12" fillId="4" borderId="1" xfId="0" applyFont="1" applyFill="1" applyBorder="1" applyAlignment="1">
      <alignment horizontal="right"/>
    </xf>
    <xf numFmtId="0" fontId="0" fillId="0" borderId="8" xfId="0" applyBorder="1"/>
    <xf numFmtId="0" fontId="12" fillId="0" borderId="8" xfId="0" applyFont="1" applyBorder="1"/>
    <xf numFmtId="0" fontId="0" fillId="0" borderId="8" xfId="0" applyBorder="1" applyAlignment="1">
      <alignment horizontal="right"/>
    </xf>
    <xf numFmtId="2" fontId="0" fillId="0" borderId="9" xfId="0" applyNumberFormat="1" applyBorder="1" applyAlignment="1"/>
    <xf numFmtId="2" fontId="0" fillId="0" borderId="10" xfId="0" applyNumberFormat="1" applyBorder="1" applyAlignment="1"/>
    <xf numFmtId="1" fontId="2" fillId="5" borderId="1" xfId="0" applyNumberFormat="1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164" fontId="2" fillId="5" borderId="1" xfId="0" applyNumberFormat="1" applyFont="1" applyFill="1" applyBorder="1" applyProtection="1">
      <protection locked="0"/>
    </xf>
    <xf numFmtId="0" fontId="2" fillId="5" borderId="3" xfId="0" applyFont="1" applyFill="1" applyBorder="1" applyAlignment="1" applyProtection="1">
      <alignment horizontal="right"/>
      <protection locked="0"/>
    </xf>
    <xf numFmtId="1" fontId="2" fillId="0" borderId="3" xfId="0" applyNumberFormat="1" applyFont="1" applyFill="1" applyBorder="1" applyAlignment="1" applyProtection="1">
      <alignment vertical="center"/>
      <protection locked="0"/>
    </xf>
    <xf numFmtId="0" fontId="2" fillId="5" borderId="1" xfId="0" applyFont="1" applyFill="1" applyBorder="1" applyProtection="1">
      <protection hidden="1"/>
    </xf>
    <xf numFmtId="0" fontId="12" fillId="0" borderId="2" xfId="0" applyFont="1" applyBorder="1" applyAlignment="1">
      <alignment horizontal="right"/>
    </xf>
    <xf numFmtId="0" fontId="0" fillId="0" borderId="3" xfId="0" applyBorder="1" applyAlignment="1"/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165" fontId="8" fillId="0" borderId="1" xfId="0" applyNumberFormat="1" applyFont="1" applyBorder="1" applyAlignment="1">
      <alignment horizontal="center"/>
    </xf>
    <xf numFmtId="0" fontId="17" fillId="0" borderId="0" xfId="0" applyFont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0" fillId="0" borderId="10" xfId="0" applyFont="1" applyBorder="1" applyAlignment="1">
      <alignment horizontal="right"/>
    </xf>
    <xf numFmtId="2" fontId="20" fillId="0" borderId="10" xfId="0" applyNumberFormat="1" applyFont="1" applyBorder="1" applyAlignment="1"/>
    <xf numFmtId="0" fontId="20" fillId="0" borderId="11" xfId="0" applyFont="1" applyBorder="1" applyAlignment="1">
      <alignment horizontal="right"/>
    </xf>
    <xf numFmtId="2" fontId="20" fillId="0" borderId="11" xfId="0" applyNumberFormat="1" applyFont="1" applyBorder="1" applyAlignment="1"/>
    <xf numFmtId="0" fontId="14" fillId="5" borderId="1" xfId="0" applyFont="1" applyFill="1" applyBorder="1" applyAlignment="1">
      <alignment horizontal="right" vertical="center"/>
    </xf>
    <xf numFmtId="0" fontId="20" fillId="0" borderId="0" xfId="0" applyFont="1"/>
    <xf numFmtId="0" fontId="0" fillId="0" borderId="0" xfId="0" applyAlignment="1">
      <alignment horizontal="center" vertical="center"/>
    </xf>
    <xf numFmtId="0" fontId="2" fillId="0" borderId="18" xfId="0" applyFont="1" applyBorder="1"/>
    <xf numFmtId="0" fontId="2" fillId="0" borderId="19" xfId="0" applyFont="1" applyBorder="1"/>
    <xf numFmtId="164" fontId="19" fillId="0" borderId="20" xfId="0" applyNumberFormat="1" applyFont="1" applyBorder="1"/>
    <xf numFmtId="164" fontId="2" fillId="0" borderId="21" xfId="0" applyNumberFormat="1" applyFont="1" applyBorder="1"/>
    <xf numFmtId="164" fontId="19" fillId="0" borderId="21" xfId="0" applyNumberFormat="1" applyFont="1" applyBorder="1"/>
    <xf numFmtId="164" fontId="2" fillId="0" borderId="22" xfId="0" applyNumberFormat="1" applyFont="1" applyBorder="1"/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39" xfId="0" applyFont="1" applyFill="1" applyBorder="1"/>
    <xf numFmtId="2" fontId="11" fillId="3" borderId="1" xfId="0" applyNumberFormat="1" applyFont="1" applyFill="1" applyBorder="1" applyAlignment="1" applyProtection="1">
      <alignment horizontal="center"/>
      <protection hidden="1"/>
    </xf>
    <xf numFmtId="166" fontId="12" fillId="4" borderId="1" xfId="0" applyNumberFormat="1" applyFont="1" applyFill="1" applyBorder="1"/>
    <xf numFmtId="2" fontId="17" fillId="0" borderId="25" xfId="0" applyNumberFormat="1" applyFont="1" applyBorder="1" applyAlignment="1">
      <alignment horizontal="center"/>
    </xf>
    <xf numFmtId="2" fontId="17" fillId="0" borderId="33" xfId="0" applyNumberFormat="1" applyFont="1" applyBorder="1" applyAlignment="1">
      <alignment horizontal="center"/>
    </xf>
    <xf numFmtId="2" fontId="17" fillId="0" borderId="26" xfId="0" applyNumberFormat="1" applyFont="1" applyBorder="1" applyAlignment="1">
      <alignment horizontal="center"/>
    </xf>
    <xf numFmtId="2" fontId="17" fillId="0" borderId="15" xfId="0" applyNumberFormat="1" applyFont="1" applyBorder="1" applyAlignment="1">
      <alignment horizontal="center"/>
    </xf>
    <xf numFmtId="2" fontId="17" fillId="0" borderId="27" xfId="0" applyNumberFormat="1" applyFont="1" applyBorder="1" applyAlignment="1">
      <alignment horizontal="center"/>
    </xf>
    <xf numFmtId="2" fontId="17" fillId="0" borderId="34" xfId="0" applyNumberFormat="1" applyFont="1" applyBorder="1" applyAlignment="1">
      <alignment horizontal="center"/>
    </xf>
    <xf numFmtId="2" fontId="17" fillId="0" borderId="28" xfId="0" applyNumberFormat="1" applyFont="1" applyBorder="1" applyAlignment="1">
      <alignment horizontal="center"/>
    </xf>
    <xf numFmtId="2" fontId="17" fillId="0" borderId="16" xfId="0" applyNumberFormat="1" applyFont="1" applyBorder="1" applyAlignment="1">
      <alignment horizontal="center"/>
    </xf>
    <xf numFmtId="2" fontId="17" fillId="0" borderId="29" xfId="0" applyNumberFormat="1" applyFont="1" applyBorder="1" applyAlignment="1">
      <alignment horizontal="center"/>
    </xf>
    <xf numFmtId="2" fontId="17" fillId="0" borderId="35" xfId="0" applyNumberFormat="1" applyFont="1" applyBorder="1" applyAlignment="1">
      <alignment horizontal="center"/>
    </xf>
    <xf numFmtId="2" fontId="17" fillId="0" borderId="30" xfId="0" applyNumberFormat="1" applyFont="1" applyBorder="1" applyAlignment="1">
      <alignment horizontal="center"/>
    </xf>
    <xf numFmtId="2" fontId="17" fillId="0" borderId="36" xfId="0" applyNumberFormat="1" applyFont="1" applyBorder="1" applyAlignment="1">
      <alignment horizontal="center"/>
    </xf>
    <xf numFmtId="2" fontId="17" fillId="0" borderId="31" xfId="0" applyNumberFormat="1" applyFont="1" applyBorder="1" applyAlignment="1">
      <alignment horizontal="center"/>
    </xf>
    <xf numFmtId="2" fontId="17" fillId="0" borderId="37" xfId="0" applyNumberFormat="1" applyFont="1" applyBorder="1" applyAlignment="1">
      <alignment horizontal="center"/>
    </xf>
    <xf numFmtId="2" fontId="17" fillId="0" borderId="32" xfId="0" applyNumberFormat="1" applyFont="1" applyBorder="1" applyAlignment="1">
      <alignment horizontal="center"/>
    </xf>
    <xf numFmtId="2" fontId="17" fillId="0" borderId="38" xfId="0" applyNumberFormat="1" applyFont="1" applyBorder="1" applyAlignment="1">
      <alignment horizontal="center"/>
    </xf>
    <xf numFmtId="2" fontId="20" fillId="0" borderId="25" xfId="0" applyNumberFormat="1" applyFont="1" applyBorder="1" applyAlignment="1">
      <alignment horizontal="center"/>
    </xf>
    <xf numFmtId="2" fontId="20" fillId="0" borderId="31" xfId="0" applyNumberFormat="1" applyFont="1" applyBorder="1" applyAlignment="1">
      <alignment horizontal="center"/>
    </xf>
    <xf numFmtId="2" fontId="20" fillId="0" borderId="27" xfId="0" applyNumberFormat="1" applyFont="1" applyBorder="1" applyAlignment="1">
      <alignment horizontal="center"/>
    </xf>
    <xf numFmtId="2" fontId="20" fillId="0" borderId="26" xfId="0" applyNumberFormat="1" applyFont="1" applyBorder="1" applyAlignment="1">
      <alignment horizontal="center"/>
    </xf>
    <xf numFmtId="2" fontId="20" fillId="0" borderId="28" xfId="0" applyNumberFormat="1" applyFont="1" applyBorder="1" applyAlignment="1">
      <alignment horizontal="center"/>
    </xf>
    <xf numFmtId="2" fontId="20" fillId="0" borderId="29" xfId="0" applyNumberFormat="1" applyFont="1" applyBorder="1" applyAlignment="1">
      <alignment horizontal="center"/>
    </xf>
    <xf numFmtId="2" fontId="20" fillId="0" borderId="30" xfId="0" applyNumberFormat="1" applyFont="1" applyBorder="1" applyAlignment="1">
      <alignment horizontal="center"/>
    </xf>
    <xf numFmtId="2" fontId="20" fillId="0" borderId="32" xfId="0" applyNumberFormat="1" applyFont="1" applyBorder="1" applyAlignment="1">
      <alignment horizontal="center"/>
    </xf>
    <xf numFmtId="2" fontId="20" fillId="0" borderId="33" xfId="0" applyNumberFormat="1" applyFont="1" applyBorder="1" applyAlignment="1">
      <alignment horizontal="center"/>
    </xf>
    <xf numFmtId="2" fontId="20" fillId="0" borderId="34" xfId="0" applyNumberFormat="1" applyFont="1" applyBorder="1" applyAlignment="1">
      <alignment horizontal="center"/>
    </xf>
    <xf numFmtId="2" fontId="20" fillId="0" borderId="3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2" fontId="20" fillId="0" borderId="16" xfId="0" applyNumberFormat="1" applyFont="1" applyBorder="1" applyAlignment="1">
      <alignment horizontal="center"/>
    </xf>
    <xf numFmtId="2" fontId="20" fillId="0" borderId="36" xfId="0" applyNumberFormat="1" applyFont="1" applyBorder="1" applyAlignment="1">
      <alignment horizontal="center"/>
    </xf>
    <xf numFmtId="2" fontId="20" fillId="0" borderId="37" xfId="0" applyNumberFormat="1" applyFont="1" applyBorder="1" applyAlignment="1">
      <alignment horizontal="center"/>
    </xf>
    <xf numFmtId="2" fontId="20" fillId="0" borderId="38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 vertical="center" textRotation="90"/>
    </xf>
    <xf numFmtId="0" fontId="0" fillId="0" borderId="17" xfId="0" applyBorder="1" applyAlignment="1"/>
    <xf numFmtId="0" fontId="0" fillId="0" borderId="7" xfId="0" applyBorder="1" applyAlignment="1"/>
    <xf numFmtId="0" fontId="9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2" xfId="0" applyFont="1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7" xfId="0" applyBorder="1" applyAlignment="1">
      <alignment horizontal="center" vertical="center" textRotation="90"/>
    </xf>
    <xf numFmtId="14" fontId="16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729343</xdr:colOff>
      <xdr:row>26</xdr:row>
      <xdr:rowOff>146957</xdr:rowOff>
    </xdr:from>
    <xdr:to>
      <xdr:col>3</xdr:col>
      <xdr:colOff>887232</xdr:colOff>
      <xdr:row>33</xdr:row>
      <xdr:rowOff>119784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4057" y="3750128"/>
          <a:ext cx="1763532" cy="1573027"/>
        </a:xfrm>
        <a:prstGeom prst="rect">
          <a:avLst/>
        </a:prstGeom>
      </xdr:spPr>
    </xdr:pic>
    <xdr:clientData/>
  </xdr:twoCellAnchor>
  <xdr:twoCellAnchor editAs="oneCell">
    <xdr:from>
      <xdr:col>16</xdr:col>
      <xdr:colOff>7620</xdr:colOff>
      <xdr:row>0</xdr:row>
      <xdr:rowOff>152400</xdr:rowOff>
    </xdr:from>
    <xdr:to>
      <xdr:col>20</xdr:col>
      <xdr:colOff>164647</xdr:colOff>
      <xdr:row>27</xdr:row>
      <xdr:rowOff>97699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92B105F-B14F-4F53-9F47-633669FEE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7420" y="152400"/>
          <a:ext cx="3326947" cy="31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729343</xdr:colOff>
      <xdr:row>26</xdr:row>
      <xdr:rowOff>146957</xdr:rowOff>
    </xdr:from>
    <xdr:to>
      <xdr:col>3</xdr:col>
      <xdr:colOff>887232</xdr:colOff>
      <xdr:row>33</xdr:row>
      <xdr:rowOff>119784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600BBCD-C15F-4506-B6DC-0044D18EE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4057" y="5807528"/>
          <a:ext cx="1763532" cy="1573027"/>
        </a:xfrm>
        <a:prstGeom prst="rect">
          <a:avLst/>
        </a:prstGeom>
      </xdr:spPr>
    </xdr:pic>
    <xdr:clientData/>
  </xdr:twoCellAnchor>
  <xdr:twoCellAnchor editAs="oneCell">
    <xdr:from>
      <xdr:col>16</xdr:col>
      <xdr:colOff>15240</xdr:colOff>
      <xdr:row>0</xdr:row>
      <xdr:rowOff>152400</xdr:rowOff>
    </xdr:from>
    <xdr:to>
      <xdr:col>20</xdr:col>
      <xdr:colOff>172267</xdr:colOff>
      <xdr:row>27</xdr:row>
      <xdr:rowOff>97699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AB7B0211-0816-45B3-88C4-17C266496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5040" y="152400"/>
          <a:ext cx="3326947" cy="31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50"/>
  <sheetViews>
    <sheetView workbookViewId="0">
      <selection activeCell="Q31" sqref="Q31"/>
    </sheetView>
  </sheetViews>
  <sheetFormatPr baseColWidth="10" defaultRowHeight="12.6" x14ac:dyDescent="0.25"/>
  <cols>
    <col min="1" max="1" width="1.6640625" customWidth="1"/>
    <col min="2" max="2" width="39.109375" bestFit="1" customWidth="1"/>
    <col min="3" max="4" width="22.6640625" customWidth="1"/>
    <col min="5" max="5" width="1.6640625" customWidth="1"/>
    <col min="6" max="7" width="10.77734375" hidden="1" customWidth="1"/>
    <col min="8" max="10" width="5.77734375" hidden="1" customWidth="1"/>
    <col min="11" max="16" width="7.77734375" hidden="1" customWidth="1"/>
  </cols>
  <sheetData>
    <row r="1" spans="2:16" ht="12.9" customHeight="1" x14ac:dyDescent="0.25">
      <c r="B1" s="26" t="s">
        <v>34</v>
      </c>
    </row>
    <row r="2" spans="2:16" ht="15.6" x14ac:dyDescent="0.25">
      <c r="B2" s="101" t="s">
        <v>39</v>
      </c>
      <c r="C2" s="102"/>
      <c r="D2" s="102"/>
      <c r="E2" s="16"/>
      <c r="F2" s="16"/>
      <c r="G2" s="16"/>
      <c r="H2" s="16"/>
    </row>
    <row r="3" spans="2:16" ht="18" customHeight="1" x14ac:dyDescent="0.25">
      <c r="B3" s="20" t="s">
        <v>26</v>
      </c>
      <c r="C3" s="18"/>
      <c r="D3" s="18"/>
      <c r="E3" s="16"/>
      <c r="F3" s="16"/>
      <c r="G3" s="16"/>
      <c r="H3" s="16"/>
    </row>
    <row r="4" spans="2:16" ht="18" customHeight="1" x14ac:dyDescent="0.25">
      <c r="B4" s="20" t="s">
        <v>30</v>
      </c>
    </row>
    <row r="5" spans="2:16" ht="4.95" customHeight="1" thickBot="1" x14ac:dyDescent="0.3"/>
    <row r="6" spans="2:16" ht="18" hidden="1" customHeight="1" x14ac:dyDescent="0.3">
      <c r="B6" s="2" t="s">
        <v>25</v>
      </c>
    </row>
    <row r="7" spans="2:16" ht="18" hidden="1" customHeight="1" x14ac:dyDescent="0.25">
      <c r="B7" s="9" t="s">
        <v>14</v>
      </c>
      <c r="C7" s="23" t="s">
        <v>21</v>
      </c>
    </row>
    <row r="8" spans="2:16" ht="18" hidden="1" customHeight="1" x14ac:dyDescent="0.25">
      <c r="B8" s="4" t="s">
        <v>9</v>
      </c>
      <c r="C8" s="7" t="s">
        <v>8</v>
      </c>
      <c r="D8" s="27">
        <v>1.835</v>
      </c>
      <c r="F8" s="11"/>
      <c r="G8" s="12"/>
      <c r="H8" s="12"/>
    </row>
    <row r="9" spans="2:16" ht="18" hidden="1" customHeight="1" x14ac:dyDescent="0.25">
      <c r="B9" s="4" t="s">
        <v>10</v>
      </c>
      <c r="C9" s="7" t="s">
        <v>8</v>
      </c>
      <c r="D9" s="27">
        <v>6.3109999999999999</v>
      </c>
      <c r="F9" s="13"/>
      <c r="G9" s="11"/>
      <c r="H9" s="11"/>
    </row>
    <row r="10" spans="2:16" ht="18" hidden="1" customHeight="1" x14ac:dyDescent="0.25">
      <c r="B10" s="4" t="s">
        <v>11</v>
      </c>
      <c r="C10" s="7" t="s">
        <v>4</v>
      </c>
      <c r="D10" s="65">
        <v>119.57</v>
      </c>
    </row>
    <row r="11" spans="2:16" ht="18" hidden="1" customHeight="1" x14ac:dyDescent="0.25">
      <c r="B11" s="4" t="s">
        <v>12</v>
      </c>
      <c r="C11" s="7" t="s">
        <v>4</v>
      </c>
      <c r="D11" s="65">
        <v>86.424999999999997</v>
      </c>
      <c r="F11" s="11"/>
      <c r="G11" s="11"/>
    </row>
    <row r="12" spans="2:16" ht="18" hidden="1" customHeight="1" x14ac:dyDescent="0.25">
      <c r="B12" s="6" t="s">
        <v>13</v>
      </c>
      <c r="C12" s="5" t="s">
        <v>7</v>
      </c>
      <c r="D12" s="28">
        <v>7000</v>
      </c>
    </row>
    <row r="13" spans="2:16" ht="18" hidden="1" customHeight="1" x14ac:dyDescent="0.25">
      <c r="B13" s="6" t="s">
        <v>27</v>
      </c>
      <c r="C13" s="5" t="s">
        <v>28</v>
      </c>
      <c r="D13" s="28">
        <v>21000</v>
      </c>
    </row>
    <row r="14" spans="2:16" ht="18" hidden="1" customHeight="1" x14ac:dyDescent="0.25">
      <c r="B14" s="6" t="s">
        <v>6</v>
      </c>
      <c r="C14" s="3" t="s">
        <v>5</v>
      </c>
      <c r="D14" s="28">
        <v>1.2999999999999999E-2</v>
      </c>
    </row>
    <row r="15" spans="2:16" ht="18" hidden="1" customHeight="1" thickBot="1" x14ac:dyDescent="0.3">
      <c r="F15" s="3" t="s">
        <v>2</v>
      </c>
      <c r="G15" s="3" t="s">
        <v>3</v>
      </c>
      <c r="I15" s="45" t="s">
        <v>36</v>
      </c>
    </row>
    <row r="16" spans="2:16" ht="18" customHeight="1" x14ac:dyDescent="0.3">
      <c r="B16" s="2" t="s">
        <v>23</v>
      </c>
      <c r="C16" s="11"/>
      <c r="D16" s="29"/>
      <c r="F16" s="42">
        <v>5</v>
      </c>
      <c r="G16" s="32">
        <v>0.8</v>
      </c>
      <c r="I16" s="103" t="s">
        <v>32</v>
      </c>
      <c r="J16" s="104"/>
      <c r="K16" s="57">
        <v>0.6</v>
      </c>
      <c r="L16" s="58">
        <v>0.6</v>
      </c>
      <c r="M16" s="57">
        <v>0.7</v>
      </c>
      <c r="N16" s="60">
        <v>0.7</v>
      </c>
      <c r="O16" s="59">
        <v>0.8</v>
      </c>
      <c r="P16" s="60">
        <v>0.8</v>
      </c>
    </row>
    <row r="17" spans="2:16" ht="18" customHeight="1" x14ac:dyDescent="0.25">
      <c r="B17" s="22" t="s">
        <v>14</v>
      </c>
      <c r="C17" s="24" t="s">
        <v>21</v>
      </c>
      <c r="D17" s="52" t="s">
        <v>22</v>
      </c>
      <c r="F17" s="43">
        <v>10</v>
      </c>
      <c r="G17" s="33">
        <v>0.8</v>
      </c>
      <c r="I17" s="103" t="s">
        <v>2</v>
      </c>
      <c r="J17" s="104"/>
      <c r="K17" s="61">
        <v>5</v>
      </c>
      <c r="L17" s="46">
        <v>15</v>
      </c>
      <c r="M17" s="61">
        <v>5</v>
      </c>
      <c r="N17" s="62">
        <v>15</v>
      </c>
      <c r="O17" s="47">
        <v>5</v>
      </c>
      <c r="P17" s="62">
        <v>15</v>
      </c>
    </row>
    <row r="18" spans="2:16" ht="18" customHeight="1" x14ac:dyDescent="0.25">
      <c r="B18" s="4" t="s">
        <v>15</v>
      </c>
      <c r="C18" s="7" t="s">
        <v>0</v>
      </c>
      <c r="D18" s="34">
        <v>20</v>
      </c>
      <c r="F18" s="43">
        <v>15</v>
      </c>
      <c r="G18" s="33">
        <v>0.8</v>
      </c>
      <c r="I18" s="98" t="s">
        <v>33</v>
      </c>
      <c r="J18" s="55">
        <v>45</v>
      </c>
      <c r="K18" s="66">
        <f>(($D$10*$D$12*10000/($D$21*$D$14*((K$16*(((VLOOKUP(K$17,$F$16:$G$22,2))*$J18))+((K$16-0.022)*($D$18/COS(K$17*PI()/180))))+($D$8/COS(K$17*PI()/180)))))^(1/3))/100</f>
        <v>4.5119969721540141</v>
      </c>
      <c r="L18" s="67">
        <f t="shared" ref="L18:P18" si="0">(($D$10*$D$12*10000/($D$21*$D$14*((L$16*(((VLOOKUP(L$17,$F$16:$G$22,2))*$J18))+((L$16-0.022)*($D$18/COS(L$17*PI()/180))))+($D$8/COS(L$17*PI()/180)))))^(1/3))/100</f>
        <v>4.4940580875345608</v>
      </c>
      <c r="M18" s="66">
        <f t="shared" si="0"/>
        <v>4.2941963871775366</v>
      </c>
      <c r="N18" s="68">
        <f t="shared" si="0"/>
        <v>4.2772796505802466</v>
      </c>
      <c r="O18" s="69">
        <f t="shared" si="0"/>
        <v>4.1131628604568027</v>
      </c>
      <c r="P18" s="68">
        <f t="shared" si="0"/>
        <v>4.0970726617713815</v>
      </c>
    </row>
    <row r="19" spans="2:16" ht="18" customHeight="1" x14ac:dyDescent="0.25">
      <c r="B19" s="4" t="s">
        <v>16</v>
      </c>
      <c r="C19" s="7" t="s">
        <v>0</v>
      </c>
      <c r="D19" s="35">
        <v>45</v>
      </c>
      <c r="F19" s="48">
        <v>20</v>
      </c>
      <c r="G19" s="49">
        <v>0.8</v>
      </c>
      <c r="I19" s="105"/>
      <c r="J19" s="56">
        <v>55</v>
      </c>
      <c r="K19" s="70">
        <f t="shared" ref="K19:P22" si="1">(($D$10*$D$12*10000/($D$21*$D$14*((K$16*(((VLOOKUP(K$17,$F$16:$G$22,2))*$J19))+((K$16-0.022)*($D$18/COS(K$17*PI()/180))))+($D$8/COS(K$17*PI()/180)))))^(1/3))/100</f>
        <v>4.3230154848876809</v>
      </c>
      <c r="L19" s="71">
        <f t="shared" si="1"/>
        <v>4.307883964479875</v>
      </c>
      <c r="M19" s="70">
        <f t="shared" si="1"/>
        <v>4.1133893030669286</v>
      </c>
      <c r="N19" s="72">
        <f t="shared" si="1"/>
        <v>4.0991331717696582</v>
      </c>
      <c r="O19" s="73">
        <f t="shared" si="1"/>
        <v>3.9392908464311547</v>
      </c>
      <c r="P19" s="72">
        <f t="shared" si="1"/>
        <v>3.9257407590413367</v>
      </c>
    </row>
    <row r="20" spans="2:16" ht="18" customHeight="1" x14ac:dyDescent="0.25">
      <c r="B20" s="4" t="s">
        <v>17</v>
      </c>
      <c r="C20" s="7" t="s">
        <v>1</v>
      </c>
      <c r="D20" s="36">
        <v>0.7</v>
      </c>
      <c r="F20" s="48">
        <v>25</v>
      </c>
      <c r="G20" s="49">
        <v>0.8</v>
      </c>
      <c r="I20" s="105"/>
      <c r="J20" s="56">
        <v>65</v>
      </c>
      <c r="K20" s="70">
        <f t="shared" si="1"/>
        <v>4.1621805446093241</v>
      </c>
      <c r="L20" s="71">
        <f t="shared" si="1"/>
        <v>4.1491685064617316</v>
      </c>
      <c r="M20" s="70">
        <f t="shared" si="1"/>
        <v>3.9596374804797048</v>
      </c>
      <c r="N20" s="72">
        <f t="shared" si="1"/>
        <v>3.9473871261365452</v>
      </c>
      <c r="O20" s="73">
        <f t="shared" si="1"/>
        <v>3.7915281237207497</v>
      </c>
      <c r="P20" s="72">
        <f t="shared" si="1"/>
        <v>3.7798908779316638</v>
      </c>
    </row>
    <row r="21" spans="2:16" ht="18" hidden="1" customHeight="1" x14ac:dyDescent="0.25">
      <c r="B21" s="17" t="s">
        <v>18</v>
      </c>
      <c r="C21" s="10"/>
      <c r="D21" s="37">
        <v>200</v>
      </c>
      <c r="F21" s="50">
        <v>30</v>
      </c>
      <c r="G21" s="51">
        <f>0.8*(60-$F21)/30</f>
        <v>0.8</v>
      </c>
      <c r="I21" s="105"/>
      <c r="J21" s="56">
        <v>90</v>
      </c>
      <c r="K21" s="70">
        <f t="shared" si="1"/>
        <v>3.8446676049502475</v>
      </c>
      <c r="L21" s="71">
        <f t="shared" si="1"/>
        <v>3.835181860720247</v>
      </c>
      <c r="M21" s="70">
        <f t="shared" si="1"/>
        <v>3.6564138577303362</v>
      </c>
      <c r="N21" s="72">
        <f t="shared" si="1"/>
        <v>3.6474948007363013</v>
      </c>
      <c r="O21" s="73">
        <f t="shared" si="1"/>
        <v>3.5003381237642124</v>
      </c>
      <c r="P21" s="72">
        <f t="shared" si="1"/>
        <v>3.491873636170685</v>
      </c>
    </row>
    <row r="22" spans="2:16" ht="18" customHeight="1" thickBot="1" x14ac:dyDescent="0.3">
      <c r="B22" s="25" t="s">
        <v>2</v>
      </c>
      <c r="C22" s="38"/>
      <c r="D22" s="39">
        <v>10</v>
      </c>
      <c r="F22" s="40" t="s">
        <v>31</v>
      </c>
      <c r="G22" s="41">
        <f>VLOOKUP($D$22,F16:G21,2)</f>
        <v>0.8</v>
      </c>
      <c r="I22" s="100"/>
      <c r="J22" s="63">
        <v>140</v>
      </c>
      <c r="K22" s="74">
        <f t="shared" si="1"/>
        <v>3.4175986856512774</v>
      </c>
      <c r="L22" s="75">
        <f t="shared" si="1"/>
        <v>3.4116672775899564</v>
      </c>
      <c r="M22" s="74">
        <f t="shared" si="1"/>
        <v>3.2491144538409857</v>
      </c>
      <c r="N22" s="76">
        <f t="shared" si="1"/>
        <v>3.2435452992081979</v>
      </c>
      <c r="O22" s="77">
        <f t="shared" si="1"/>
        <v>3.1096005569034548</v>
      </c>
      <c r="P22" s="76">
        <f t="shared" si="1"/>
        <v>3.1043208903512887</v>
      </c>
    </row>
    <row r="23" spans="2:16" ht="18" customHeight="1" thickBot="1" x14ac:dyDescent="0.3">
      <c r="B23" s="30"/>
      <c r="C23" s="31"/>
      <c r="D23" s="14"/>
      <c r="F23" s="14"/>
      <c r="G23" s="15"/>
      <c r="I23" s="45" t="s">
        <v>37</v>
      </c>
    </row>
    <row r="24" spans="2:16" ht="18" customHeight="1" x14ac:dyDescent="0.3">
      <c r="B24" s="2" t="s">
        <v>24</v>
      </c>
      <c r="C24" s="19" t="s">
        <v>19</v>
      </c>
      <c r="D24" s="21" t="s">
        <v>20</v>
      </c>
      <c r="I24" s="98" t="s">
        <v>33</v>
      </c>
      <c r="J24" s="55">
        <v>45</v>
      </c>
      <c r="K24" s="78">
        <f>0.95*((((($D$10*$D$12)+($D$11*$D$13))*10000/($D$21*$D$14*((K$16*(((VLOOKUP(K$17,$F$16:$G$22,2))*$J24))+((K$16-0.022)*($D$18/COS(K$17*PI()/180))))+(($D$8+$D$9)/COS(K$17*PI()/180)))))^(1/3))/100)</f>
        <v>5.9564075373287748</v>
      </c>
      <c r="L24" s="79">
        <f t="shared" ref="L24:P24" si="2">0.95*((((($D$10*$D$12)+($D$11*$D$13))*10000/($D$21*$D$14*((L$16*(((VLOOKUP(L$17,$F$16:$G$22,2))*$J24))+((L$16-0.022)*($D$18/COS(L$17*PI()/180))))+(($D$8+$D$9)/COS(L$17*PI()/180)))))^(1/3))/100)</f>
        <v>5.9269594192125821</v>
      </c>
      <c r="M24" s="78">
        <f t="shared" si="2"/>
        <v>5.7093572893875537</v>
      </c>
      <c r="N24" s="80">
        <f t="shared" si="2"/>
        <v>5.6819681496276679</v>
      </c>
      <c r="O24" s="81">
        <f t="shared" si="2"/>
        <v>5.4987831698184708</v>
      </c>
      <c r="P24" s="80">
        <f t="shared" si="2"/>
        <v>5.473039212396813</v>
      </c>
    </row>
    <row r="25" spans="2:16" ht="18" hidden="1" customHeight="1" x14ac:dyDescent="0.3">
      <c r="B25" s="8" t="s">
        <v>29</v>
      </c>
      <c r="C25" s="44">
        <f>(D20*((VLOOKUP(D22,F16:G21,2))*D19)+((D20-0.022)*(D18/COS($D$22*PI()/180))))+(D8/COS($D$22*PI()/180))</f>
        <v>40.832492689981045</v>
      </c>
      <c r="D25" s="44">
        <f>D20*((VLOOKUP(D22,F16:G24,2))*D19)+((D20-0.022)*(D18/COS($D$22*PI()/180)))+((D8+D9)/COS($D$22*PI()/180))</f>
        <v>47.240850037591983</v>
      </c>
      <c r="I25" s="99"/>
      <c r="J25" s="56">
        <v>55</v>
      </c>
      <c r="K25" s="70">
        <f t="shared" ref="K25:P28" si="3">0.95*((((($D$10*$D$12)+($D$11*$D$13))*10000/($D$21*$D$14*((K$16*(((VLOOKUP(K$17,$F$16:$G$22,2))*$J25))+((K$16-0.022)*($D$18/COS(K$17*PI()/180))))+(($D$8+$D$9)/COS(K$17*PI()/180)))))^(1/3))/100)</f>
        <v>5.7424477672563015</v>
      </c>
      <c r="L25" s="71">
        <f t="shared" si="3"/>
        <v>5.7169822023930053</v>
      </c>
      <c r="M25" s="70">
        <f t="shared" si="3"/>
        <v>5.4990494292510492</v>
      </c>
      <c r="N25" s="72">
        <f t="shared" si="3"/>
        <v>5.4754542874653653</v>
      </c>
      <c r="O25" s="73">
        <f t="shared" si="3"/>
        <v>5.2922880794827583</v>
      </c>
      <c r="P25" s="72">
        <f t="shared" si="3"/>
        <v>5.2701763406202184</v>
      </c>
    </row>
    <row r="26" spans="2:16" ht="18" customHeight="1" x14ac:dyDescent="0.3">
      <c r="B26" s="8" t="s">
        <v>41</v>
      </c>
      <c r="C26" s="64">
        <f>((D10*D12*10000/(D21*D14*C25))^(1/3))/100</f>
        <v>4.2879233108453292</v>
      </c>
      <c r="D26" s="64">
        <f>0.95*(((((D10*D12)+(D11*D13))*10000/(D21*D14*D25))^(1/3))/100)</f>
        <v>5.6991898113313209</v>
      </c>
      <c r="I26" s="99"/>
      <c r="J26" s="56">
        <v>65</v>
      </c>
      <c r="K26" s="70">
        <f t="shared" si="3"/>
        <v>5.5562544823489208</v>
      </c>
      <c r="L26" s="71">
        <f t="shared" si="3"/>
        <v>5.5339159104611824</v>
      </c>
      <c r="M26" s="70">
        <f t="shared" si="3"/>
        <v>5.316660636774543</v>
      </c>
      <c r="N26" s="72">
        <f t="shared" si="3"/>
        <v>5.2960265286878361</v>
      </c>
      <c r="O26" s="73">
        <f t="shared" si="3"/>
        <v>5.1136861498185082</v>
      </c>
      <c r="P26" s="72">
        <f t="shared" si="3"/>
        <v>5.0943958210092566</v>
      </c>
    </row>
    <row r="27" spans="2:16" ht="18" customHeight="1" x14ac:dyDescent="0.25">
      <c r="I27" s="99"/>
      <c r="J27" s="56">
        <v>90</v>
      </c>
      <c r="K27" s="70">
        <f t="shared" si="3"/>
        <v>5.1782364340535301</v>
      </c>
      <c r="L27" s="71">
        <f t="shared" si="3"/>
        <v>5.1613585246892404</v>
      </c>
      <c r="M27" s="70">
        <f t="shared" si="3"/>
        <v>4.94799046804805</v>
      </c>
      <c r="N27" s="72">
        <f t="shared" si="3"/>
        <v>4.9324880986464121</v>
      </c>
      <c r="O27" s="73">
        <f t="shared" si="3"/>
        <v>4.7539033854083952</v>
      </c>
      <c r="P27" s="72">
        <f t="shared" si="3"/>
        <v>4.7394739997051598</v>
      </c>
    </row>
    <row r="28" spans="2:16" ht="18" customHeight="1" thickBot="1" x14ac:dyDescent="0.3">
      <c r="I28" s="100"/>
      <c r="J28" s="63">
        <v>140</v>
      </c>
      <c r="K28" s="74">
        <f t="shared" si="3"/>
        <v>4.6499016607373376</v>
      </c>
      <c r="L28" s="75">
        <f t="shared" si="3"/>
        <v>4.6389078916687039</v>
      </c>
      <c r="M28" s="74">
        <f t="shared" si="3"/>
        <v>4.4358733068305298</v>
      </c>
      <c r="N28" s="76">
        <f t="shared" si="3"/>
        <v>4.4258419648487157</v>
      </c>
      <c r="O28" s="77">
        <f t="shared" si="3"/>
        <v>4.2564977166367646</v>
      </c>
      <c r="P28" s="76">
        <f t="shared" si="3"/>
        <v>4.2472080660261433</v>
      </c>
    </row>
    <row r="29" spans="2:16" ht="18" customHeight="1" x14ac:dyDescent="0.25"/>
    <row r="30" spans="2:16" ht="18" customHeight="1" x14ac:dyDescent="0.25"/>
    <row r="31" spans="2:16" ht="18" customHeight="1" x14ac:dyDescent="0.25"/>
    <row r="32" spans="2:16" ht="18" customHeight="1" x14ac:dyDescent="0.25"/>
    <row r="33" spans="4:4" ht="18" customHeight="1" x14ac:dyDescent="0.25"/>
    <row r="34" spans="4:4" ht="18" customHeight="1" x14ac:dyDescent="0.25"/>
    <row r="35" spans="4:4" ht="18" customHeight="1" x14ac:dyDescent="0.25"/>
    <row r="36" spans="4:4" ht="18" customHeight="1" x14ac:dyDescent="0.25"/>
    <row r="37" spans="4:4" ht="18" customHeight="1" x14ac:dyDescent="0.3">
      <c r="D37" s="1"/>
    </row>
    <row r="38" spans="4:4" ht="18" customHeight="1" x14ac:dyDescent="0.25"/>
    <row r="39" spans="4:4" ht="18" customHeight="1" x14ac:dyDescent="0.25"/>
    <row r="40" spans="4:4" ht="18" customHeight="1" x14ac:dyDescent="0.25"/>
    <row r="41" spans="4:4" ht="18" customHeight="1" x14ac:dyDescent="0.25"/>
    <row r="42" spans="4:4" ht="18" customHeight="1" x14ac:dyDescent="0.25"/>
    <row r="43" spans="4:4" ht="20.100000000000001" customHeight="1" x14ac:dyDescent="0.25"/>
    <row r="44" spans="4:4" ht="20.100000000000001" customHeight="1" x14ac:dyDescent="0.25"/>
    <row r="45" spans="4:4" ht="20.100000000000001" customHeight="1" x14ac:dyDescent="0.25"/>
    <row r="46" spans="4:4" ht="20.100000000000001" customHeight="1" x14ac:dyDescent="0.25"/>
    <row r="47" spans="4:4" ht="20.100000000000001" customHeight="1" x14ac:dyDescent="0.25"/>
    <row r="48" spans="4:4" ht="20.100000000000001" customHeight="1" x14ac:dyDescent="0.25"/>
    <row r="49" ht="20.100000000000001" customHeight="1" x14ac:dyDescent="0.25"/>
    <row r="50" ht="20.100000000000001" customHeight="1" x14ac:dyDescent="0.25"/>
  </sheetData>
  <sheetProtection algorithmName="SHA-512" hashValue="Skq0v04ay+0mnn3s10bqRqf5wlsHwDUWMobtoF5rrj/ZLkFHfwro3M7t2uAmumJ2rt2Y57t5UOtTQsxdd+LnJg==" saltValue="5JEfnIZ6ys8GOegWF8k/TQ==" spinCount="100000" sheet="1" objects="1" scenarios="1"/>
  <mergeCells count="5">
    <mergeCell ref="I24:I28"/>
    <mergeCell ref="B2:D2"/>
    <mergeCell ref="I16:J16"/>
    <mergeCell ref="I17:J17"/>
    <mergeCell ref="I18:I22"/>
  </mergeCells>
  <phoneticPr fontId="0" type="noConversion"/>
  <pageMargins left="0.39370078740157483" right="0" top="0.39370078740157483" bottom="0" header="0" footer="0"/>
  <pageSetup paperSize="9" scale="61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19F3D-D7E3-4BAA-9D6A-3A235B1D8DD9}">
  <sheetPr>
    <pageSetUpPr fitToPage="1"/>
  </sheetPr>
  <dimension ref="B1:P50"/>
  <sheetViews>
    <sheetView tabSelected="1" workbookViewId="0">
      <selection activeCell="R33" sqref="R33"/>
    </sheetView>
  </sheetViews>
  <sheetFormatPr baseColWidth="10" defaultRowHeight="12.6" x14ac:dyDescent="0.25"/>
  <cols>
    <col min="1" max="1" width="1.6640625" customWidth="1"/>
    <col min="2" max="2" width="39.109375" bestFit="1" customWidth="1"/>
    <col min="3" max="4" width="22.6640625" customWidth="1"/>
    <col min="5" max="5" width="1.6640625" customWidth="1"/>
    <col min="6" max="7" width="10.77734375" hidden="1" customWidth="1"/>
    <col min="8" max="10" width="5.77734375" hidden="1" customWidth="1"/>
    <col min="11" max="16" width="7.77734375" hidden="1" customWidth="1"/>
  </cols>
  <sheetData>
    <row r="1" spans="2:16" ht="12.9" customHeight="1" x14ac:dyDescent="0.25">
      <c r="B1" s="106" t="s">
        <v>42</v>
      </c>
    </row>
    <row r="2" spans="2:16" ht="15.6" x14ac:dyDescent="0.25">
      <c r="B2" s="101" t="s">
        <v>40</v>
      </c>
      <c r="C2" s="102"/>
      <c r="D2" s="102"/>
      <c r="E2" s="16"/>
      <c r="F2" s="16"/>
      <c r="G2" s="16"/>
      <c r="H2" s="16"/>
    </row>
    <row r="3" spans="2:16" ht="18" customHeight="1" x14ac:dyDescent="0.25">
      <c r="B3" s="20" t="s">
        <v>26</v>
      </c>
      <c r="C3" s="54"/>
      <c r="D3" s="54"/>
      <c r="E3" s="16"/>
      <c r="F3" s="16"/>
      <c r="G3" s="16"/>
      <c r="H3" s="16"/>
    </row>
    <row r="4" spans="2:16" ht="18" customHeight="1" x14ac:dyDescent="0.25">
      <c r="B4" s="20" t="s">
        <v>30</v>
      </c>
    </row>
    <row r="5" spans="2:16" ht="4.95" customHeight="1" thickBot="1" x14ac:dyDescent="0.3"/>
    <row r="6" spans="2:16" ht="18" hidden="1" customHeight="1" x14ac:dyDescent="0.3">
      <c r="B6" s="2" t="s">
        <v>25</v>
      </c>
    </row>
    <row r="7" spans="2:16" ht="18" hidden="1" customHeight="1" x14ac:dyDescent="0.25">
      <c r="B7" s="9" t="s">
        <v>14</v>
      </c>
      <c r="C7" s="23" t="s">
        <v>21</v>
      </c>
    </row>
    <row r="8" spans="2:16" ht="18" hidden="1" customHeight="1" x14ac:dyDescent="0.25">
      <c r="B8" s="4" t="s">
        <v>9</v>
      </c>
      <c r="C8" s="7" t="s">
        <v>8</v>
      </c>
      <c r="D8" s="27">
        <v>1.835</v>
      </c>
      <c r="F8" s="11"/>
      <c r="G8" s="12"/>
      <c r="H8" s="12"/>
    </row>
    <row r="9" spans="2:16" ht="18" hidden="1" customHeight="1" x14ac:dyDescent="0.25">
      <c r="B9" s="4" t="s">
        <v>10</v>
      </c>
      <c r="C9" s="7" t="s">
        <v>8</v>
      </c>
      <c r="D9" s="27">
        <v>6.3109999999999999</v>
      </c>
      <c r="F9" s="13"/>
      <c r="G9" s="11"/>
      <c r="H9" s="11"/>
    </row>
    <row r="10" spans="2:16" ht="18" hidden="1" customHeight="1" x14ac:dyDescent="0.25">
      <c r="B10" s="4" t="s">
        <v>11</v>
      </c>
      <c r="C10" s="7" t="s">
        <v>4</v>
      </c>
      <c r="D10" s="65">
        <v>119.57</v>
      </c>
    </row>
    <row r="11" spans="2:16" ht="18" hidden="1" customHeight="1" x14ac:dyDescent="0.25">
      <c r="B11" s="4" t="s">
        <v>12</v>
      </c>
      <c r="C11" s="7" t="s">
        <v>4</v>
      </c>
      <c r="D11" s="65">
        <v>86.424999999999997</v>
      </c>
      <c r="F11" s="11"/>
      <c r="G11" s="11"/>
    </row>
    <row r="12" spans="2:16" ht="18" hidden="1" customHeight="1" x14ac:dyDescent="0.25">
      <c r="B12" s="6" t="s">
        <v>13</v>
      </c>
      <c r="C12" s="5" t="s">
        <v>7</v>
      </c>
      <c r="D12" s="28">
        <v>7000</v>
      </c>
    </row>
    <row r="13" spans="2:16" ht="18" hidden="1" customHeight="1" x14ac:dyDescent="0.25">
      <c r="B13" s="6" t="s">
        <v>27</v>
      </c>
      <c r="C13" s="5" t="s">
        <v>28</v>
      </c>
      <c r="D13" s="28">
        <v>21000</v>
      </c>
    </row>
    <row r="14" spans="2:16" ht="18" hidden="1" customHeight="1" x14ac:dyDescent="0.25">
      <c r="B14" s="6" t="s">
        <v>6</v>
      </c>
      <c r="C14" s="3" t="s">
        <v>5</v>
      </c>
      <c r="D14" s="28">
        <v>1.2999999999999999E-2</v>
      </c>
    </row>
    <row r="15" spans="2:16" ht="18" hidden="1" customHeight="1" thickBot="1" x14ac:dyDescent="0.3">
      <c r="F15" s="3" t="s">
        <v>2</v>
      </c>
      <c r="G15" s="3" t="s">
        <v>3</v>
      </c>
      <c r="I15" s="53" t="s">
        <v>38</v>
      </c>
    </row>
    <row r="16" spans="2:16" ht="18" customHeight="1" x14ac:dyDescent="0.3">
      <c r="B16" s="2" t="s">
        <v>23</v>
      </c>
      <c r="C16" s="11"/>
      <c r="D16" s="29"/>
      <c r="F16" s="42">
        <v>5</v>
      </c>
      <c r="G16" s="32">
        <v>0.8</v>
      </c>
      <c r="I16" s="103" t="s">
        <v>32</v>
      </c>
      <c r="J16" s="104"/>
      <c r="K16" s="57">
        <v>1.1000000000000001</v>
      </c>
      <c r="L16" s="58">
        <v>1.1000000000000001</v>
      </c>
      <c r="M16" s="57">
        <v>1.2</v>
      </c>
      <c r="N16" s="60">
        <v>1.2</v>
      </c>
      <c r="O16" s="59">
        <v>1.3</v>
      </c>
      <c r="P16" s="60">
        <v>1.3</v>
      </c>
    </row>
    <row r="17" spans="2:16" ht="18" customHeight="1" x14ac:dyDescent="0.25">
      <c r="B17" s="22" t="s">
        <v>14</v>
      </c>
      <c r="C17" s="24" t="s">
        <v>21</v>
      </c>
      <c r="D17" s="52" t="s">
        <v>22</v>
      </c>
      <c r="F17" s="43">
        <v>10</v>
      </c>
      <c r="G17" s="33">
        <v>0.8</v>
      </c>
      <c r="I17" s="103" t="s">
        <v>2</v>
      </c>
      <c r="J17" s="104"/>
      <c r="K17" s="61">
        <v>5</v>
      </c>
      <c r="L17" s="46">
        <v>15</v>
      </c>
      <c r="M17" s="61">
        <v>5</v>
      </c>
      <c r="N17" s="62">
        <v>15</v>
      </c>
      <c r="O17" s="47">
        <v>5</v>
      </c>
      <c r="P17" s="62">
        <v>15</v>
      </c>
    </row>
    <row r="18" spans="2:16" ht="18" customHeight="1" x14ac:dyDescent="0.25">
      <c r="B18" s="4" t="s">
        <v>15</v>
      </c>
      <c r="C18" s="7" t="s">
        <v>0</v>
      </c>
      <c r="D18" s="34">
        <v>5</v>
      </c>
      <c r="F18" s="43">
        <v>15</v>
      </c>
      <c r="G18" s="33">
        <v>0.8</v>
      </c>
      <c r="I18" s="98" t="s">
        <v>33</v>
      </c>
      <c r="J18" s="55">
        <v>45</v>
      </c>
      <c r="K18" s="82">
        <f>1.06*((($D$10*$D$12*10000/($D$21*$D$14*((K$16*(((VLOOKUP(K$17,$F$16:$G$22,2))*$J18))+((K$16-0.022)*($D$18/COS(K$17*PI()/180))))+($D$8/COS(K$17*PI()/180)))))^(1/3))/100)</f>
        <v>4.3415380549831966</v>
      </c>
      <c r="L18" s="90">
        <f t="shared" ref="L18:P18" si="0">1.06*((($D$10*$D$12*10000/($D$21*$D$14*((L$16*(((VLOOKUP(L$17,$F$16:$G$22,2))*$J18))+((L$16-0.022)*($D$18/COS(L$17*PI()/180))))+($D$8/COS(L$17*PI()/180)))))^(1/3))/100)</f>
        <v>4.334540709302372</v>
      </c>
      <c r="M18" s="82">
        <f t="shared" si="0"/>
        <v>4.2217641481926282</v>
      </c>
      <c r="N18" s="85">
        <f t="shared" si="0"/>
        <v>4.2150742581855125</v>
      </c>
      <c r="O18" s="93">
        <f t="shared" si="0"/>
        <v>4.1142011484730743</v>
      </c>
      <c r="P18" s="85">
        <f t="shared" si="0"/>
        <v>4.1077765988742962</v>
      </c>
    </row>
    <row r="19" spans="2:16" ht="18" customHeight="1" x14ac:dyDescent="0.25">
      <c r="B19" s="4" t="s">
        <v>16</v>
      </c>
      <c r="C19" s="7" t="s">
        <v>0</v>
      </c>
      <c r="D19" s="35">
        <v>45</v>
      </c>
      <c r="F19" s="48">
        <v>20</v>
      </c>
      <c r="G19" s="49">
        <v>0.8</v>
      </c>
      <c r="I19" s="105"/>
      <c r="J19" s="56">
        <v>55</v>
      </c>
      <c r="K19" s="84">
        <f t="shared" ref="K19:P22" si="1">1.06*((($D$10*$D$12*10000/($D$21*$D$14*((K$16*(((VLOOKUP(K$17,$F$16:$G$22,2))*$J19))+((K$16-0.022)*($D$18/COS(K$17*PI()/180))))+($D$8/COS(K$17*PI()/180)))))^(1/3))/100)</f>
        <v>4.0994572055876857</v>
      </c>
      <c r="L19" s="91">
        <f t="shared" si="1"/>
        <v>4.0938919449570879</v>
      </c>
      <c r="M19" s="84">
        <f t="shared" si="1"/>
        <v>3.9857128958536823</v>
      </c>
      <c r="N19" s="86">
        <f t="shared" si="1"/>
        <v>3.9803956688479496</v>
      </c>
      <c r="O19" s="94">
        <f t="shared" si="1"/>
        <v>3.883626240467787</v>
      </c>
      <c r="P19" s="86">
        <f t="shared" si="1"/>
        <v>3.87852276937973</v>
      </c>
    </row>
    <row r="20" spans="2:16" ht="18" customHeight="1" x14ac:dyDescent="0.25">
      <c r="B20" s="4" t="s">
        <v>17</v>
      </c>
      <c r="C20" s="7" t="s">
        <v>1</v>
      </c>
      <c r="D20" s="36">
        <v>1.2</v>
      </c>
      <c r="F20" s="48">
        <v>25</v>
      </c>
      <c r="G20" s="49">
        <v>0.8</v>
      </c>
      <c r="I20" s="105"/>
      <c r="J20" s="56">
        <v>65</v>
      </c>
      <c r="K20" s="84">
        <f t="shared" si="1"/>
        <v>3.9036843687902079</v>
      </c>
      <c r="L20" s="91">
        <f t="shared" si="1"/>
        <v>3.8991067486395146</v>
      </c>
      <c r="M20" s="84">
        <f t="shared" si="1"/>
        <v>3.7949230793061406</v>
      </c>
      <c r="N20" s="86">
        <f t="shared" si="1"/>
        <v>3.7905515687891054</v>
      </c>
      <c r="O20" s="94">
        <f t="shared" si="1"/>
        <v>3.697351400180382</v>
      </c>
      <c r="P20" s="86">
        <f t="shared" si="1"/>
        <v>3.6931573342405972</v>
      </c>
    </row>
    <row r="21" spans="2:16" ht="18" hidden="1" customHeight="1" x14ac:dyDescent="0.25">
      <c r="B21" s="17" t="s">
        <v>18</v>
      </c>
      <c r="C21" s="10"/>
      <c r="D21" s="37">
        <v>200</v>
      </c>
      <c r="F21" s="50">
        <v>30</v>
      </c>
      <c r="G21" s="51">
        <f>0.8*(60-$F21)/30</f>
        <v>0.8</v>
      </c>
      <c r="I21" s="105"/>
      <c r="J21" s="56">
        <v>90</v>
      </c>
      <c r="K21" s="84">
        <f t="shared" si="1"/>
        <v>3.5396649505892888</v>
      </c>
      <c r="L21" s="91">
        <f t="shared" si="1"/>
        <v>3.5365686102876612</v>
      </c>
      <c r="M21" s="84">
        <f t="shared" si="1"/>
        <v>3.440390970842186</v>
      </c>
      <c r="N21" s="86">
        <f t="shared" si="1"/>
        <v>3.4374363227581646</v>
      </c>
      <c r="O21" s="94">
        <f t="shared" si="1"/>
        <v>3.3513931093495675</v>
      </c>
      <c r="P21" s="86">
        <f t="shared" si="1"/>
        <v>3.348560248511951</v>
      </c>
    </row>
    <row r="22" spans="2:16" ht="18" customHeight="1" thickBot="1" x14ac:dyDescent="0.3">
      <c r="B22" s="25" t="s">
        <v>2</v>
      </c>
      <c r="C22" s="38"/>
      <c r="D22" s="35">
        <v>10</v>
      </c>
      <c r="F22" s="40" t="s">
        <v>31</v>
      </c>
      <c r="G22" s="41">
        <f>VLOOKUP($D$22,F16:G21,2)</f>
        <v>0.8</v>
      </c>
      <c r="I22" s="100"/>
      <c r="J22" s="63">
        <v>140</v>
      </c>
      <c r="K22" s="87">
        <f t="shared" si="1"/>
        <v>3.0860568898445888</v>
      </c>
      <c r="L22" s="92">
        <f t="shared" si="1"/>
        <v>3.0842668116692291</v>
      </c>
      <c r="M22" s="87">
        <f t="shared" si="1"/>
        <v>2.998941263888288</v>
      </c>
      <c r="N22" s="88">
        <f t="shared" si="1"/>
        <v>2.9972344025682678</v>
      </c>
      <c r="O22" s="95">
        <f t="shared" si="1"/>
        <v>2.9208973843353987</v>
      </c>
      <c r="P22" s="88">
        <f t="shared" si="1"/>
        <v>2.9192619351763569</v>
      </c>
    </row>
    <row r="23" spans="2:16" ht="18" customHeight="1" thickBot="1" x14ac:dyDescent="0.3">
      <c r="B23" s="30"/>
      <c r="C23" s="31"/>
      <c r="D23" s="14"/>
      <c r="F23" s="14"/>
      <c r="G23" s="15"/>
      <c r="I23" s="53" t="s">
        <v>35</v>
      </c>
    </row>
    <row r="24" spans="2:16" ht="18" customHeight="1" x14ac:dyDescent="0.3">
      <c r="B24" s="2" t="s">
        <v>24</v>
      </c>
      <c r="C24" s="19" t="s">
        <v>19</v>
      </c>
      <c r="D24" s="21" t="s">
        <v>20</v>
      </c>
      <c r="I24" s="98" t="s">
        <v>33</v>
      </c>
      <c r="J24" s="55">
        <v>45</v>
      </c>
      <c r="K24" s="83">
        <f>0.97*((((($D$10*$D$12)+($D$11*$D$13))*10000/($D$21*$D$14*((K$16*(((VLOOKUP(K$17,$F$16:$G$22,2))*$J24))+((K$16-0.022)*($D$18/COS(K$17*PI()/180))))+(($D$8+$D$9)/COS(K$17*PI()/180)))))^(1/3))/100)</f>
        <v>5.5936686101297495</v>
      </c>
      <c r="L24" s="96">
        <f t="shared" ref="L24:P24" si="2">0.97*((((($D$10*$D$12)+($D$11*$D$13))*10000/($D$21*$D$14*((L$16*(((VLOOKUP(L$17,$F$16:$G$22,2))*$J24))+((L$16-0.022)*($D$18/COS(L$17*PI()/180))))+(($D$8+$D$9)/COS(L$17*PI()/180)))))^(1/3))/100)</f>
        <v>5.5788211153009968</v>
      </c>
      <c r="M24" s="83">
        <f t="shared" si="2"/>
        <v>5.4568479119329041</v>
      </c>
      <c r="N24" s="89">
        <f t="shared" si="2"/>
        <v>5.4429011775459522</v>
      </c>
      <c r="O24" s="97">
        <f t="shared" si="2"/>
        <v>5.3325017989012844</v>
      </c>
      <c r="P24" s="89">
        <f t="shared" si="2"/>
        <v>5.3193281786319382</v>
      </c>
    </row>
    <row r="25" spans="2:16" ht="18" hidden="1" customHeight="1" x14ac:dyDescent="0.3">
      <c r="B25" s="8" t="s">
        <v>29</v>
      </c>
      <c r="C25" s="44">
        <f>(D20*((VLOOKUP(D22,F16:G21,2))*D19)+((D20-0.022)*(D18/COS($D$22*PI()/180))))+(D8/COS($D$22*PI()/180))</f>
        <v>51.044170576817372</v>
      </c>
      <c r="D25" s="44">
        <f>D20*((VLOOKUP(D22,F16:G24,2))*D19)+((D20-0.022)*(D18/COS($D$22*PI()/180)))+((D8+D9)/COS($D$22*PI()/180))</f>
        <v>57.45252792442831</v>
      </c>
      <c r="I25" s="99"/>
      <c r="J25" s="56">
        <v>55</v>
      </c>
      <c r="K25" s="84">
        <f t="shared" ref="K25:P28" si="3">0.97*((((($D$10*$D$12)+($D$11*$D$13))*10000/($D$21*$D$14*((K$16*(((VLOOKUP(K$17,$F$16:$G$22,2))*$J25))+((K$16-0.022)*($D$18/COS(K$17*PI()/180))))+(($D$8+$D$9)/COS(K$17*PI()/180)))))^(1/3))/100)</f>
        <v>5.3153512011745114</v>
      </c>
      <c r="L25" s="91">
        <f t="shared" si="3"/>
        <v>5.303236268788539</v>
      </c>
      <c r="M25" s="84">
        <f t="shared" si="3"/>
        <v>5.1822009819341641</v>
      </c>
      <c r="N25" s="86">
        <f t="shared" si="3"/>
        <v>5.1708487733668456</v>
      </c>
      <c r="O25" s="94">
        <f t="shared" si="3"/>
        <v>5.0614632937447981</v>
      </c>
      <c r="P25" s="86">
        <f t="shared" si="3"/>
        <v>5.0507629938592276</v>
      </c>
    </row>
    <row r="26" spans="2:16" ht="18" customHeight="1" x14ac:dyDescent="0.3">
      <c r="B26" s="8" t="s">
        <v>41</v>
      </c>
      <c r="C26" s="64">
        <f>1.06*(((D10*D12*10000/(D21*D14*C25))^(1/3))/100)</f>
        <v>4.2192907670059494</v>
      </c>
      <c r="D26" s="64">
        <f>0.97*(((((D10*D12)+(D11*D13))*10000/(D21*D14*D25))^(1/3))/100)</f>
        <v>5.4516852070228818</v>
      </c>
      <c r="I26" s="99"/>
      <c r="J26" s="56">
        <v>65</v>
      </c>
      <c r="K26" s="84">
        <f t="shared" si="3"/>
        <v>5.0852761307249486</v>
      </c>
      <c r="L26" s="91">
        <f t="shared" si="3"/>
        <v>5.0751207286295434</v>
      </c>
      <c r="M26" s="84">
        <f t="shared" si="3"/>
        <v>4.9556389695483096</v>
      </c>
      <c r="N26" s="86">
        <f t="shared" si="3"/>
        <v>4.9461403490370399</v>
      </c>
      <c r="O26" s="94">
        <f t="shared" si="3"/>
        <v>4.8382852761993327</v>
      </c>
      <c r="P26" s="86">
        <f t="shared" si="3"/>
        <v>4.8293462630946511</v>
      </c>
    </row>
    <row r="27" spans="2:16" ht="18" customHeight="1" x14ac:dyDescent="0.25">
      <c r="I27" s="99"/>
      <c r="J27" s="56">
        <v>90</v>
      </c>
      <c r="K27" s="84">
        <f t="shared" si="3"/>
        <v>4.6466183877097693</v>
      </c>
      <c r="L27" s="91">
        <f t="shared" si="3"/>
        <v>4.6395324395014077</v>
      </c>
      <c r="M27" s="84">
        <f t="shared" si="3"/>
        <v>4.5247378628111283</v>
      </c>
      <c r="N27" s="86">
        <f t="shared" si="3"/>
        <v>4.5181304271045164</v>
      </c>
      <c r="O27" s="94">
        <f t="shared" si="3"/>
        <v>4.4147156614004777</v>
      </c>
      <c r="P27" s="86">
        <f t="shared" si="3"/>
        <v>4.4085138288224188</v>
      </c>
    </row>
    <row r="28" spans="2:16" ht="18" customHeight="1" thickBot="1" x14ac:dyDescent="0.3">
      <c r="I28" s="100"/>
      <c r="J28" s="63">
        <v>140</v>
      </c>
      <c r="K28" s="87">
        <f t="shared" si="3"/>
        <v>4.0827375535288501</v>
      </c>
      <c r="L28" s="92">
        <f t="shared" si="3"/>
        <v>4.078510072024776</v>
      </c>
      <c r="M28" s="87">
        <f t="shared" si="3"/>
        <v>3.9725416346456743</v>
      </c>
      <c r="N28" s="88">
        <f t="shared" si="3"/>
        <v>3.9686120834241558</v>
      </c>
      <c r="O28" s="95">
        <f t="shared" si="3"/>
        <v>3.8733550307136011</v>
      </c>
      <c r="P28" s="88">
        <f t="shared" si="3"/>
        <v>3.8696766703448979</v>
      </c>
    </row>
    <row r="29" spans="2:16" ht="18" customHeight="1" x14ac:dyDescent="0.25"/>
    <row r="30" spans="2:16" ht="18" customHeight="1" x14ac:dyDescent="0.25"/>
    <row r="31" spans="2:16" ht="18" customHeight="1" x14ac:dyDescent="0.25"/>
    <row r="32" spans="2:16" ht="18" customHeight="1" x14ac:dyDescent="0.25"/>
    <row r="33" spans="4:4" ht="18" customHeight="1" x14ac:dyDescent="0.25"/>
    <row r="34" spans="4:4" ht="18" customHeight="1" x14ac:dyDescent="0.25"/>
    <row r="35" spans="4:4" ht="18" customHeight="1" x14ac:dyDescent="0.25"/>
    <row r="36" spans="4:4" ht="18" customHeight="1" x14ac:dyDescent="0.25"/>
    <row r="37" spans="4:4" ht="18" customHeight="1" x14ac:dyDescent="0.3">
      <c r="D37" s="1"/>
    </row>
    <row r="38" spans="4:4" ht="18" customHeight="1" x14ac:dyDescent="0.25"/>
    <row r="39" spans="4:4" ht="18" customHeight="1" x14ac:dyDescent="0.25"/>
    <row r="40" spans="4:4" ht="18" customHeight="1" x14ac:dyDescent="0.25"/>
    <row r="41" spans="4:4" ht="18" customHeight="1" x14ac:dyDescent="0.25"/>
    <row r="42" spans="4:4" ht="18" customHeight="1" x14ac:dyDescent="0.25"/>
    <row r="43" spans="4:4" ht="20.100000000000001" customHeight="1" x14ac:dyDescent="0.25"/>
    <row r="44" spans="4:4" ht="20.100000000000001" customHeight="1" x14ac:dyDescent="0.25"/>
    <row r="45" spans="4:4" ht="20.100000000000001" customHeight="1" x14ac:dyDescent="0.25"/>
    <row r="46" spans="4:4" ht="20.100000000000001" customHeight="1" x14ac:dyDescent="0.25"/>
    <row r="47" spans="4:4" ht="20.100000000000001" customHeight="1" x14ac:dyDescent="0.25"/>
    <row r="48" spans="4:4" ht="20.100000000000001" customHeight="1" x14ac:dyDescent="0.25"/>
    <row r="49" ht="20.100000000000001" customHeight="1" x14ac:dyDescent="0.25"/>
    <row r="50" ht="20.100000000000001" customHeight="1" x14ac:dyDescent="0.25"/>
  </sheetData>
  <sheetProtection algorithmName="SHA-512" hashValue="tx4/Z4qr4GeTerGwTSmDkUsLhXzaMJ+uqbeRSKIoUSG4GxI1Vlf/jDG5roqhrqutJJBNeXW/MBoW/DbYgvkfSw==" saltValue="efVGcm4cFHi2hWSErKTbfg==" spinCount="100000" sheet="1" objects="1" scenarios="1"/>
  <mergeCells count="5">
    <mergeCell ref="B2:D2"/>
    <mergeCell ref="I16:J16"/>
    <mergeCell ref="I17:J17"/>
    <mergeCell ref="I18:I22"/>
    <mergeCell ref="I24:I28"/>
  </mergeCells>
  <pageMargins left="0.39370078740157483" right="0" top="0.39370078740157483" bottom="0" header="0" footer="0"/>
  <pageSetup paperSize="9" scale="61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PORTEE vitrage</vt:lpstr>
      <vt:lpstr>PORTEE plaque</vt:lpstr>
      <vt:lpstr>'PORTEE plaque'!Pente</vt:lpstr>
      <vt:lpstr>Pente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Bureau d'Etudes</dc:creator>
  <cp:lastModifiedBy>Bart COUSSENS</cp:lastModifiedBy>
  <cp:lastPrinted>2019-12-19T13:28:46Z</cp:lastPrinted>
  <dcterms:created xsi:type="dcterms:W3CDTF">1999-01-14T13:32:56Z</dcterms:created>
  <dcterms:modified xsi:type="dcterms:W3CDTF">2021-02-18T09:43:28Z</dcterms:modified>
</cp:coreProperties>
</file>