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PATIO se/INERTIES/CALCULS/CHEVRON/"/>
    </mc:Choice>
  </mc:AlternateContent>
  <xr:revisionPtr revIDLastSave="5" documentId="13_ncr:1_{24F371E9-6074-42B1-8204-720D99818107}" xr6:coauthVersionLast="46" xr6:coauthVersionMax="46" xr10:uidLastSave="{6DE89FF7-FFAE-4F36-B26F-A0087A85F43E}"/>
  <bookViews>
    <workbookView xWindow="-108" yWindow="-108" windowWidth="23256" windowHeight="12576" xr2:uid="{00000000-000D-0000-FFFF-FFFF00000000}"/>
  </bookViews>
  <sheets>
    <sheet name="PORTEE vitrage" sheetId="3" r:id="rId1"/>
    <sheet name="PORTEE plaque" sheetId="5" r:id="rId2"/>
  </sheets>
  <definedNames>
    <definedName name="Appuis">#REF!</definedName>
    <definedName name="Coeff">#REF!</definedName>
    <definedName name="Coeff_Pente">#REF!</definedName>
    <definedName name="EIprofil">#REF!</definedName>
    <definedName name="EItotal">#REF!</definedName>
    <definedName name="Eprofil">#REF!</definedName>
    <definedName name="Erenfort">#REF!</definedName>
    <definedName name="f_Acryl">#REF!</definedName>
    <definedName name="f_DV">#REF!</definedName>
    <definedName name="f_VF">#REF!</definedName>
    <definedName name="Iprofil">#REF!</definedName>
    <definedName name="Irenfort">#REF!</definedName>
    <definedName name="P_Acryl">#REF!</definedName>
    <definedName name="P_DV">#REF!</definedName>
    <definedName name="P_VF">#REF!</definedName>
    <definedName name="Pente" localSheetId="1">'PORTEE plaque'!$F$16:$F$22</definedName>
    <definedName name="Pente">'PORTEE vitrage'!$F$16:$F$22</definedName>
    <definedName name="Pprofil">#REF!</definedName>
    <definedName name="Prenfort">#REF!</definedName>
    <definedName name="Profil">#REF!</definedName>
    <definedName name="réduction">#REF!</definedName>
    <definedName name="Rég.A">#REF!</definedName>
    <definedName name="Rég.B">#REF!</definedName>
    <definedName name="Rég.C">#REF!</definedName>
    <definedName name="Rég.D">#REF!</definedName>
    <definedName name="résulta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5" l="1"/>
  <c r="M24" i="5"/>
  <c r="N24" i="5"/>
  <c r="O24" i="5"/>
  <c r="P24" i="5"/>
  <c r="L25" i="5"/>
  <c r="M25" i="5"/>
  <c r="N25" i="5"/>
  <c r="O25" i="5"/>
  <c r="P25" i="5"/>
  <c r="L26" i="5"/>
  <c r="M26" i="5"/>
  <c r="N26" i="5"/>
  <c r="O26" i="5"/>
  <c r="P26" i="5"/>
  <c r="L27" i="5"/>
  <c r="M27" i="5"/>
  <c r="N27" i="5"/>
  <c r="O27" i="5"/>
  <c r="P27" i="5"/>
  <c r="L28" i="5"/>
  <c r="M28" i="5"/>
  <c r="N28" i="5"/>
  <c r="O28" i="5"/>
  <c r="P28" i="5"/>
  <c r="K25" i="5"/>
  <c r="K26" i="5"/>
  <c r="K27" i="5"/>
  <c r="K28" i="5"/>
  <c r="K24" i="5"/>
  <c r="L18" i="5"/>
  <c r="M18" i="5"/>
  <c r="N18" i="5"/>
  <c r="O18" i="5"/>
  <c r="P18" i="5"/>
  <c r="L19" i="5"/>
  <c r="M19" i="5"/>
  <c r="N19" i="5"/>
  <c r="O19" i="5"/>
  <c r="P19" i="5"/>
  <c r="L20" i="5"/>
  <c r="M20" i="5"/>
  <c r="N20" i="5"/>
  <c r="O20" i="5"/>
  <c r="P20" i="5"/>
  <c r="L21" i="5"/>
  <c r="M21" i="5"/>
  <c r="N21" i="5"/>
  <c r="O21" i="5"/>
  <c r="P21" i="5"/>
  <c r="L22" i="5"/>
  <c r="M22" i="5"/>
  <c r="N22" i="5"/>
  <c r="O22" i="5"/>
  <c r="P22" i="5"/>
  <c r="K19" i="5"/>
  <c r="K20" i="5"/>
  <c r="K21" i="5"/>
  <c r="K22" i="5"/>
  <c r="K18" i="5"/>
  <c r="L24" i="3"/>
  <c r="M24" i="3"/>
  <c r="N24" i="3"/>
  <c r="O24" i="3"/>
  <c r="P24" i="3"/>
  <c r="L25" i="3"/>
  <c r="M25" i="3"/>
  <c r="N25" i="3"/>
  <c r="O25" i="3"/>
  <c r="P25" i="3"/>
  <c r="L26" i="3"/>
  <c r="M26" i="3"/>
  <c r="N26" i="3"/>
  <c r="O26" i="3"/>
  <c r="P26" i="3"/>
  <c r="L27" i="3"/>
  <c r="M27" i="3"/>
  <c r="N27" i="3"/>
  <c r="O27" i="3"/>
  <c r="P27" i="3"/>
  <c r="L28" i="3"/>
  <c r="M28" i="3"/>
  <c r="N28" i="3"/>
  <c r="O28" i="3"/>
  <c r="P28" i="3"/>
  <c r="K25" i="3"/>
  <c r="K26" i="3"/>
  <c r="K27" i="3"/>
  <c r="K28" i="3"/>
  <c r="K24" i="3"/>
  <c r="L18" i="3"/>
  <c r="M18" i="3"/>
  <c r="N18" i="3"/>
  <c r="O18" i="3"/>
  <c r="P18" i="3"/>
  <c r="L19" i="3"/>
  <c r="M19" i="3"/>
  <c r="N19" i="3"/>
  <c r="O19" i="3"/>
  <c r="P19" i="3"/>
  <c r="L20" i="3"/>
  <c r="M20" i="3"/>
  <c r="N20" i="3"/>
  <c r="O20" i="3"/>
  <c r="P20" i="3"/>
  <c r="L21" i="3"/>
  <c r="M21" i="3"/>
  <c r="N21" i="3"/>
  <c r="O21" i="3"/>
  <c r="P21" i="3"/>
  <c r="L22" i="3"/>
  <c r="M22" i="3"/>
  <c r="N22" i="3"/>
  <c r="O22" i="3"/>
  <c r="P22" i="3"/>
  <c r="K19" i="3"/>
  <c r="K20" i="3"/>
  <c r="K21" i="3"/>
  <c r="K22" i="3"/>
  <c r="K18" i="3"/>
  <c r="D25" i="5" l="1"/>
  <c r="D26" i="5" s="1"/>
  <c r="C25" i="5"/>
  <c r="C26" i="5" s="1"/>
  <c r="G21" i="5"/>
  <c r="D25" i="3" l="1"/>
  <c r="D26" i="3" s="1"/>
  <c r="C25" i="3"/>
  <c r="C26" i="3" l="1"/>
  <c r="G21" i="3"/>
</calcChain>
</file>

<file path=xl/sharedStrings.xml><?xml version="1.0" encoding="utf-8"?>
<sst xmlns="http://schemas.openxmlformats.org/spreadsheetml/2006/main" count="92" uniqueCount="42">
  <si>
    <t>Kg/m²</t>
  </si>
  <si>
    <t>m</t>
  </si>
  <si>
    <t>Pente</t>
  </si>
  <si>
    <t>Valeur</t>
  </si>
  <si>
    <t>cm4</t>
  </si>
  <si>
    <t>5/384</t>
  </si>
  <si>
    <t>Constante '2 appuis simples'</t>
  </si>
  <si>
    <t>Kg/mm²</t>
  </si>
  <si>
    <t>Kg/m</t>
  </si>
  <si>
    <t>P A T I O se   PORTEE CHEVRON</t>
  </si>
  <si>
    <t>Renfort Fe_5x90 739018</t>
  </si>
  <si>
    <t>Poids chevron</t>
  </si>
  <si>
    <t>Poids renfort</t>
  </si>
  <si>
    <t>I chevron</t>
  </si>
  <si>
    <t>I renfort</t>
  </si>
  <si>
    <t>E Fe</t>
  </si>
  <si>
    <t>E Alu</t>
  </si>
  <si>
    <t>déscription</t>
  </si>
  <si>
    <t>Poids remplissage</t>
  </si>
  <si>
    <t>Charge de neige</t>
  </si>
  <si>
    <t>Distance entre chevrons</t>
  </si>
  <si>
    <t>Constante 'flèche maximale'</t>
  </si>
  <si>
    <t>sans renfort</t>
  </si>
  <si>
    <t>avec renfort</t>
  </si>
  <si>
    <t>unité</t>
  </si>
  <si>
    <t>unté</t>
  </si>
  <si>
    <t>valeurs à remplir</t>
  </si>
  <si>
    <t>Valeurs variables</t>
  </si>
  <si>
    <t>Calcul</t>
  </si>
  <si>
    <t>Poids sur chevron</t>
  </si>
  <si>
    <t>Pas chevron</t>
  </si>
  <si>
    <t>Charge neige</t>
  </si>
  <si>
    <t>Valeurs fixes</t>
  </si>
  <si>
    <t>Chevron: 432035</t>
  </si>
  <si>
    <r>
      <t xml:space="preserve">Version 09/2020   </t>
    </r>
    <r>
      <rPr>
        <sz val="10"/>
        <color rgb="FFFF0000"/>
        <rFont val="Arial"/>
        <family val="2"/>
      </rPr>
      <t>Ces valeurs sont données a titre indicatif et n'engagent pas Flandria !</t>
    </r>
  </si>
  <si>
    <r>
      <t xml:space="preserve">PROFONDEUR PATIO se: chevron </t>
    </r>
    <r>
      <rPr>
        <u/>
        <sz val="10"/>
        <color rgb="FF0000CC"/>
        <rFont val="MS Sans Serif"/>
        <family val="2"/>
      </rPr>
      <t>sans</t>
    </r>
    <r>
      <rPr>
        <sz val="10"/>
        <color rgb="FF0000CC"/>
        <rFont val="MS Sans Serif"/>
        <family val="2"/>
      </rPr>
      <t xml:space="preserve"> renfort / Flèche maxi=L/200 / vitrage</t>
    </r>
  </si>
  <si>
    <t>PROFONDEUR PATIO se: chevron avec renfort / Flèche maxi=L/200 / vitrage</t>
  </si>
  <si>
    <r>
      <t xml:space="preserve">PROFONDEUR PATIO se: chevron </t>
    </r>
    <r>
      <rPr>
        <u/>
        <sz val="10"/>
        <color rgb="FFFF0000"/>
        <rFont val="MS Sans Serif"/>
        <family val="2"/>
      </rPr>
      <t>sans</t>
    </r>
    <r>
      <rPr>
        <sz val="10"/>
        <color rgb="FFFF0000"/>
        <rFont val="MS Sans Serif"/>
        <family val="2"/>
      </rPr>
      <t xml:space="preserve"> renfort / Flèche maxi=L/200 / Plaque</t>
    </r>
  </si>
  <si>
    <t>PROFONDEUR PATIO se: chevron avec renfort / Flèche maxi=L/200 / Plaque</t>
  </si>
  <si>
    <r>
      <t>P A T I O se   PORTEE CHEVRON</t>
    </r>
    <r>
      <rPr>
        <b/>
        <i/>
        <sz val="12"/>
        <color rgb="FF0000CC"/>
        <rFont val="MS Sans Serif"/>
      </rPr>
      <t xml:space="preserve"> vitrage</t>
    </r>
  </si>
  <si>
    <t>Profondeur (m) maxi</t>
  </si>
  <si>
    <t>Ces valeurs sont données a titre indicatif et n'engagent pas Flandria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</si>
</sst>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&quot;  Kg/m&quot;"/>
  </numFmts>
  <fonts count="23" x14ac:knownFonts="1">
    <font>
      <sz val="10"/>
      <name val="MS Sans Serif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b/>
      <sz val="12"/>
      <color indexed="9"/>
      <name val="MS Sans Serif"/>
      <family val="2"/>
    </font>
    <font>
      <b/>
      <u/>
      <sz val="10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2"/>
      <name val="MS Sans Serif"/>
      <family val="2"/>
    </font>
    <font>
      <b/>
      <i/>
      <sz val="12"/>
      <color indexed="9"/>
      <name val="MS Sans Serif"/>
      <family val="2"/>
    </font>
    <font>
      <b/>
      <i/>
      <sz val="10"/>
      <color indexed="9"/>
      <name val="MS Sans Serif"/>
      <family val="2"/>
    </font>
    <font>
      <b/>
      <sz val="12"/>
      <color indexed="10"/>
      <name val="MS Sans Serif"/>
      <family val="2"/>
    </font>
    <font>
      <sz val="10"/>
      <name val="MS Sans Serif"/>
      <family val="2"/>
    </font>
    <font>
      <b/>
      <sz val="12"/>
      <color indexed="12"/>
      <name val="MS Sans Serif"/>
      <family val="2"/>
    </font>
    <font>
      <i/>
      <sz val="10"/>
      <name val="MS Sans Serif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CC"/>
      <name val="MS Sans Serif"/>
      <family val="2"/>
    </font>
    <font>
      <u/>
      <sz val="10"/>
      <color rgb="FF0000CC"/>
      <name val="MS Sans Serif"/>
      <family val="2"/>
    </font>
    <font>
      <b/>
      <sz val="1"/>
      <name val="MS Sans Serif"/>
      <family val="2"/>
    </font>
    <font>
      <sz val="10"/>
      <color rgb="FFFF0000"/>
      <name val="MS Sans Serif"/>
      <family val="2"/>
    </font>
    <font>
      <u/>
      <sz val="10"/>
      <color rgb="FFFF0000"/>
      <name val="MS Sans Serif"/>
      <family val="2"/>
    </font>
    <font>
      <b/>
      <i/>
      <sz val="12"/>
      <color rgb="FF0000CC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4" fillId="2" borderId="0" xfId="0" applyFont="1" applyFill="1"/>
    <xf numFmtId="0" fontId="0" fillId="0" borderId="1" xfId="0" applyBorder="1" applyAlignment="1">
      <alignment horizontal="right"/>
    </xf>
    <xf numFmtId="0" fontId="0" fillId="0" borderId="1" xfId="0" applyBorder="1"/>
    <xf numFmtId="0" fontId="6" fillId="0" borderId="1" xfId="0" applyFont="1" applyBorder="1" applyAlignment="1">
      <alignment horizontal="right"/>
    </xf>
    <xf numFmtId="0" fontId="0" fillId="0" borderId="2" xfId="0" applyBorder="1"/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3" fillId="0" borderId="2" xfId="0" applyFont="1" applyBorder="1"/>
    <xf numFmtId="0" fontId="5" fillId="0" borderId="1" xfId="0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7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0" fillId="0" borderId="0" xfId="0" applyFont="1" applyFill="1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horizontal="center"/>
    </xf>
    <xf numFmtId="0" fontId="5" fillId="0" borderId="4" xfId="0" applyFont="1" applyFill="1" applyBorder="1"/>
    <xf numFmtId="14" fontId="15" fillId="0" borderId="0" xfId="0" applyNumberFormat="1" applyFont="1" applyAlignment="1">
      <alignment horizontal="left"/>
    </xf>
    <xf numFmtId="0" fontId="0" fillId="0" borderId="8" xfId="0" applyBorder="1" applyAlignment="1">
      <alignment horizontal="right"/>
    </xf>
    <xf numFmtId="0" fontId="0" fillId="0" borderId="8" xfId="0" applyBorder="1" applyAlignment="1"/>
    <xf numFmtId="1" fontId="2" fillId="4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164" fontId="2" fillId="4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0" fillId="0" borderId="9" xfId="0" applyBorder="1" applyAlignment="1">
      <alignment horizontal="right"/>
    </xf>
    <xf numFmtId="2" fontId="0" fillId="0" borderId="9" xfId="0" applyNumberFormat="1" applyBorder="1" applyAlignment="1"/>
    <xf numFmtId="0" fontId="0" fillId="0" borderId="10" xfId="0" applyBorder="1" applyAlignment="1">
      <alignment horizontal="right"/>
    </xf>
    <xf numFmtId="2" fontId="0" fillId="0" borderId="10" xfId="0" applyNumberFormat="1" applyBorder="1" applyAlignment="1"/>
    <xf numFmtId="1" fontId="2" fillId="0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right"/>
    </xf>
    <xf numFmtId="164" fontId="12" fillId="5" borderId="1" xfId="0" applyNumberFormat="1" applyFont="1" applyFill="1" applyBorder="1"/>
    <xf numFmtId="0" fontId="12" fillId="5" borderId="1" xfId="0" applyFont="1" applyFill="1" applyBorder="1"/>
    <xf numFmtId="0" fontId="12" fillId="5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right" vertical="center"/>
    </xf>
    <xf numFmtId="0" fontId="0" fillId="0" borderId="7" xfId="0" applyBorder="1"/>
    <xf numFmtId="165" fontId="8" fillId="0" borderId="1" xfId="0" applyNumberFormat="1" applyFont="1" applyBorder="1" applyAlignment="1" applyProtection="1">
      <alignment horizontal="center"/>
    </xf>
    <xf numFmtId="0" fontId="17" fillId="0" borderId="0" xfId="0" applyFo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right"/>
    </xf>
    <xf numFmtId="2" fontId="20" fillId="0" borderId="10" xfId="0" applyNumberFormat="1" applyFont="1" applyBorder="1" applyAlignment="1"/>
    <xf numFmtId="0" fontId="20" fillId="0" borderId="0" xfId="0" applyFont="1"/>
    <xf numFmtId="0" fontId="0" fillId="0" borderId="0" xfId="0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164" fontId="19" fillId="0" borderId="19" xfId="0" applyNumberFormat="1" applyFont="1" applyBorder="1"/>
    <xf numFmtId="164" fontId="2" fillId="0" borderId="20" xfId="0" applyNumberFormat="1" applyFont="1" applyBorder="1"/>
    <xf numFmtId="164" fontId="19" fillId="0" borderId="20" xfId="0" applyNumberFormat="1" applyFont="1" applyBorder="1"/>
    <xf numFmtId="164" fontId="2" fillId="0" borderId="21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11" fillId="3" borderId="1" xfId="0" applyNumberFormat="1" applyFont="1" applyFill="1" applyBorder="1" applyAlignment="1" applyProtection="1">
      <alignment horizontal="center"/>
      <protection hidden="1"/>
    </xf>
    <xf numFmtId="0" fontId="2" fillId="0" borderId="36" xfId="0" applyFont="1" applyFill="1" applyBorder="1"/>
    <xf numFmtId="2" fontId="17" fillId="0" borderId="24" xfId="0" applyNumberFormat="1" applyFont="1" applyBorder="1" applyAlignment="1" applyProtection="1">
      <alignment horizontal="center"/>
      <protection hidden="1"/>
    </xf>
    <xf numFmtId="2" fontId="17" fillId="0" borderId="17" xfId="0" applyNumberFormat="1" applyFont="1" applyBorder="1" applyAlignment="1" applyProtection="1">
      <alignment horizontal="center"/>
      <protection hidden="1"/>
    </xf>
    <xf numFmtId="2" fontId="17" fillId="0" borderId="25" xfId="0" applyNumberFormat="1" applyFont="1" applyBorder="1" applyAlignment="1" applyProtection="1">
      <alignment horizontal="center"/>
      <protection hidden="1"/>
    </xf>
    <xf numFmtId="2" fontId="17" fillId="0" borderId="16" xfId="0" applyNumberFormat="1" applyFont="1" applyBorder="1" applyAlignment="1" applyProtection="1">
      <alignment horizontal="center"/>
      <protection hidden="1"/>
    </xf>
    <xf numFmtId="2" fontId="17" fillId="0" borderId="26" xfId="0" applyNumberFormat="1" applyFont="1" applyBorder="1" applyAlignment="1" applyProtection="1">
      <alignment horizontal="center"/>
      <protection hidden="1"/>
    </xf>
    <xf numFmtId="2" fontId="17" fillId="0" borderId="18" xfId="0" applyNumberFormat="1" applyFont="1" applyBorder="1" applyAlignment="1" applyProtection="1">
      <alignment horizontal="center"/>
      <protection hidden="1"/>
    </xf>
    <xf numFmtId="2" fontId="17" fillId="0" borderId="27" xfId="0" applyNumberFormat="1" applyFont="1" applyBorder="1" applyAlignment="1" applyProtection="1">
      <alignment horizontal="center"/>
      <protection hidden="1"/>
    </xf>
    <xf numFmtId="2" fontId="17" fillId="0" borderId="14" xfId="0" applyNumberFormat="1" applyFont="1" applyBorder="1" applyAlignment="1" applyProtection="1">
      <alignment horizontal="center"/>
      <protection hidden="1"/>
    </xf>
    <xf numFmtId="2" fontId="20" fillId="0" borderId="24" xfId="0" applyNumberFormat="1" applyFont="1" applyBorder="1" applyAlignment="1" applyProtection="1">
      <alignment horizontal="center"/>
      <protection hidden="1"/>
    </xf>
    <xf numFmtId="2" fontId="20" fillId="0" borderId="17" xfId="0" applyNumberFormat="1" applyFont="1" applyBorder="1" applyAlignment="1" applyProtection="1">
      <alignment horizontal="center"/>
      <protection hidden="1"/>
    </xf>
    <xf numFmtId="2" fontId="20" fillId="0" borderId="25" xfId="0" applyNumberFormat="1" applyFont="1" applyBorder="1" applyAlignment="1" applyProtection="1">
      <alignment horizontal="center"/>
      <protection hidden="1"/>
    </xf>
    <xf numFmtId="2" fontId="20" fillId="0" borderId="16" xfId="0" applyNumberFormat="1" applyFont="1" applyBorder="1" applyAlignment="1" applyProtection="1">
      <alignment horizontal="center"/>
      <protection hidden="1"/>
    </xf>
    <xf numFmtId="2" fontId="20" fillId="0" borderId="26" xfId="0" applyNumberFormat="1" applyFont="1" applyBorder="1" applyAlignment="1" applyProtection="1">
      <alignment horizontal="center"/>
      <protection hidden="1"/>
    </xf>
    <xf numFmtId="2" fontId="20" fillId="0" borderId="18" xfId="0" applyNumberFormat="1" applyFont="1" applyBorder="1" applyAlignment="1" applyProtection="1">
      <alignment horizontal="center"/>
      <protection hidden="1"/>
    </xf>
    <xf numFmtId="2" fontId="20" fillId="0" borderId="27" xfId="0" applyNumberFormat="1" applyFont="1" applyBorder="1" applyAlignment="1" applyProtection="1">
      <alignment horizontal="center"/>
      <protection hidden="1"/>
    </xf>
    <xf numFmtId="2" fontId="20" fillId="0" borderId="14" xfId="0" applyNumberFormat="1" applyFont="1" applyBorder="1" applyAlignment="1" applyProtection="1">
      <alignment horizontal="center"/>
      <protection hidden="1"/>
    </xf>
    <xf numFmtId="2" fontId="20" fillId="0" borderId="32" xfId="0" applyNumberFormat="1" applyFont="1" applyBorder="1" applyAlignment="1" applyProtection="1">
      <alignment horizontal="center"/>
      <protection hidden="1"/>
    </xf>
    <xf numFmtId="2" fontId="20" fillId="0" borderId="34" xfId="0" applyNumberFormat="1" applyFont="1" applyBorder="1" applyAlignment="1" applyProtection="1">
      <alignment horizontal="center"/>
      <protection hidden="1"/>
    </xf>
    <xf numFmtId="2" fontId="20" fillId="0" borderId="33" xfId="0" applyNumberFormat="1" applyFont="1" applyBorder="1" applyAlignment="1" applyProtection="1">
      <alignment horizontal="center"/>
      <protection hidden="1"/>
    </xf>
    <xf numFmtId="2" fontId="20" fillId="0" borderId="35" xfId="0" applyNumberFormat="1" applyFont="1" applyBorder="1" applyAlignment="1" applyProtection="1">
      <alignment horizontal="center"/>
      <protection hidden="1"/>
    </xf>
    <xf numFmtId="2" fontId="17" fillId="0" borderId="32" xfId="0" applyNumberFormat="1" applyFont="1" applyBorder="1" applyAlignment="1" applyProtection="1">
      <alignment horizontal="center"/>
      <protection hidden="1"/>
    </xf>
    <xf numFmtId="2" fontId="17" fillId="0" borderId="34" xfId="0" applyNumberFormat="1" applyFont="1" applyBorder="1" applyAlignment="1" applyProtection="1">
      <alignment horizontal="center"/>
      <protection hidden="1"/>
    </xf>
    <xf numFmtId="2" fontId="17" fillId="0" borderId="33" xfId="0" applyNumberFormat="1" applyFont="1" applyBorder="1" applyAlignment="1" applyProtection="1">
      <alignment horizontal="center"/>
      <protection hidden="1"/>
    </xf>
    <xf numFmtId="2" fontId="17" fillId="0" borderId="35" xfId="0" applyNumberFormat="1" applyFont="1" applyBorder="1" applyAlignment="1" applyProtection="1">
      <alignment horizontal="center"/>
      <protection hidden="1"/>
    </xf>
    <xf numFmtId="2" fontId="17" fillId="0" borderId="28" xfId="0" applyNumberFormat="1" applyFont="1" applyBorder="1" applyAlignment="1" applyProtection="1">
      <alignment horizontal="center"/>
      <protection hidden="1"/>
    </xf>
    <xf numFmtId="2" fontId="17" fillId="0" borderId="29" xfId="0" applyNumberFormat="1" applyFont="1" applyBorder="1" applyAlignment="1" applyProtection="1">
      <alignment horizontal="center"/>
      <protection hidden="1"/>
    </xf>
    <xf numFmtId="2" fontId="17" fillId="0" borderId="30" xfId="0" applyNumberFormat="1" applyFont="1" applyBorder="1" applyAlignment="1" applyProtection="1">
      <alignment horizontal="center"/>
      <protection hidden="1"/>
    </xf>
    <xf numFmtId="2" fontId="17" fillId="0" borderId="31" xfId="0" applyNumberFormat="1" applyFont="1" applyBorder="1" applyAlignment="1" applyProtection="1">
      <alignment horizontal="center"/>
      <protection hidden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2" fontId="20" fillId="0" borderId="28" xfId="0" applyNumberFormat="1" applyFont="1" applyBorder="1" applyAlignment="1" applyProtection="1">
      <alignment horizontal="center"/>
      <protection hidden="1"/>
    </xf>
    <xf numFmtId="2" fontId="20" fillId="0" borderId="29" xfId="0" applyNumberFormat="1" applyFont="1" applyBorder="1" applyAlignment="1" applyProtection="1">
      <alignment horizontal="center"/>
      <protection hidden="1"/>
    </xf>
    <xf numFmtId="2" fontId="20" fillId="0" borderId="30" xfId="0" applyNumberFormat="1" applyFont="1" applyBorder="1" applyAlignment="1" applyProtection="1">
      <alignment horizontal="center"/>
      <protection hidden="1"/>
    </xf>
    <xf numFmtId="2" fontId="20" fillId="0" borderId="31" xfId="0" applyNumberFormat="1" applyFont="1" applyBorder="1" applyAlignment="1" applyProtection="1">
      <alignment horizontal="center"/>
      <protection hidden="1"/>
    </xf>
    <xf numFmtId="0" fontId="15" fillId="0" borderId="5" xfId="0" applyFont="1" applyBorder="1" applyAlignment="1">
      <alignment horizontal="center" vertical="center" textRotation="90"/>
    </xf>
    <xf numFmtId="0" fontId="0" fillId="0" borderId="15" xfId="0" applyBorder="1" applyAlignment="1"/>
    <xf numFmtId="0" fontId="0" fillId="0" borderId="6" xfId="0" applyBorder="1" applyAlignment="1"/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5" xfId="0" applyBorder="1" applyAlignment="1">
      <alignment horizontal="center" vertical="center" textRotation="90"/>
    </xf>
    <xf numFmtId="14" fontId="1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26</xdr:row>
      <xdr:rowOff>184150</xdr:rowOff>
    </xdr:from>
    <xdr:to>
      <xdr:col>3</xdr:col>
      <xdr:colOff>1127876</xdr:colOff>
      <xdr:row>33</xdr:row>
      <xdr:rowOff>1978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E68E5AD-D7C4-400D-AD6B-209E3CB7E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5892800"/>
          <a:ext cx="2258176" cy="1418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7620</xdr:rowOff>
    </xdr:from>
    <xdr:to>
      <xdr:col>20</xdr:col>
      <xdr:colOff>179887</xdr:colOff>
      <xdr:row>27</xdr:row>
      <xdr:rowOff>82459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BC280DC-5C55-440B-8DEE-7399A19FF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660" y="167640"/>
          <a:ext cx="3326947" cy="31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26</xdr:row>
      <xdr:rowOff>184150</xdr:rowOff>
    </xdr:from>
    <xdr:to>
      <xdr:col>3</xdr:col>
      <xdr:colOff>1127876</xdr:colOff>
      <xdr:row>33</xdr:row>
      <xdr:rowOff>1978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B72E8D9-E4C2-4A16-98C6-BD615182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7357" y="5893707"/>
          <a:ext cx="2281762" cy="1418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</xdr:colOff>
      <xdr:row>0</xdr:row>
      <xdr:rowOff>152400</xdr:rowOff>
    </xdr:from>
    <xdr:to>
      <xdr:col>19</xdr:col>
      <xdr:colOff>606607</xdr:colOff>
      <xdr:row>27</xdr:row>
      <xdr:rowOff>67219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E89CEE2-2C6C-4D87-A5B9-3C2A4150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152400"/>
          <a:ext cx="3326947" cy="31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0"/>
  <sheetViews>
    <sheetView tabSelected="1" workbookViewId="0">
      <selection activeCell="C26" sqref="C26"/>
    </sheetView>
  </sheetViews>
  <sheetFormatPr baseColWidth="10" defaultRowHeight="12.6" x14ac:dyDescent="0.25"/>
  <cols>
    <col min="1" max="1" width="1.77734375" customWidth="1"/>
    <col min="2" max="2" width="39.109375" bestFit="1" customWidth="1"/>
    <col min="3" max="4" width="22.77734375" customWidth="1"/>
    <col min="5" max="5" width="1.77734375" customWidth="1"/>
    <col min="6" max="7" width="10.77734375" hidden="1" customWidth="1"/>
    <col min="8" max="10" width="5.77734375" hidden="1" customWidth="1"/>
    <col min="11" max="16" width="7.77734375" hidden="1" customWidth="1"/>
    <col min="17" max="17" width="11.109375" customWidth="1"/>
  </cols>
  <sheetData>
    <row r="1" spans="2:16" ht="12.9" customHeight="1" x14ac:dyDescent="0.25">
      <c r="B1" s="25" t="s">
        <v>34</v>
      </c>
    </row>
    <row r="2" spans="2:16" ht="18" customHeight="1" x14ac:dyDescent="0.25">
      <c r="B2" s="100" t="s">
        <v>39</v>
      </c>
      <c r="C2" s="101"/>
      <c r="D2" s="101"/>
      <c r="E2" s="18"/>
      <c r="F2" s="18"/>
      <c r="G2" s="18"/>
      <c r="H2" s="18"/>
    </row>
    <row r="3" spans="2:16" ht="18" customHeight="1" x14ac:dyDescent="0.25">
      <c r="B3" s="22" t="s">
        <v>33</v>
      </c>
      <c r="C3" s="20"/>
      <c r="D3" s="20"/>
      <c r="E3" s="18"/>
      <c r="F3" s="18"/>
      <c r="G3" s="18"/>
      <c r="H3" s="18"/>
    </row>
    <row r="4" spans="2:16" ht="18" customHeight="1" x14ac:dyDescent="0.25">
      <c r="B4" s="22" t="s">
        <v>10</v>
      </c>
    </row>
    <row r="5" spans="2:16" ht="4.95" customHeight="1" thickBot="1" x14ac:dyDescent="0.3"/>
    <row r="6" spans="2:16" ht="18" hidden="1" customHeight="1" x14ac:dyDescent="0.3">
      <c r="B6" s="2" t="s">
        <v>32</v>
      </c>
    </row>
    <row r="7" spans="2:16" ht="18" hidden="1" customHeight="1" x14ac:dyDescent="0.25">
      <c r="B7" s="10" t="s">
        <v>17</v>
      </c>
      <c r="C7" s="7" t="s">
        <v>25</v>
      </c>
    </row>
    <row r="8" spans="2:16" ht="18" hidden="1" customHeight="1" x14ac:dyDescent="0.25">
      <c r="B8" s="4" t="s">
        <v>11</v>
      </c>
      <c r="C8" s="8" t="s">
        <v>8</v>
      </c>
      <c r="D8" s="38">
        <v>1.9590000000000001</v>
      </c>
      <c r="F8" s="13"/>
      <c r="G8" s="14"/>
      <c r="H8" s="14"/>
    </row>
    <row r="9" spans="2:16" ht="18" hidden="1" customHeight="1" x14ac:dyDescent="0.25">
      <c r="B9" s="4" t="s">
        <v>12</v>
      </c>
      <c r="C9" s="8" t="s">
        <v>8</v>
      </c>
      <c r="D9" s="38">
        <v>3.5430000000000001</v>
      </c>
      <c r="F9" s="15"/>
      <c r="G9" s="13"/>
      <c r="H9" s="13"/>
    </row>
    <row r="10" spans="2:16" ht="18" hidden="1" customHeight="1" x14ac:dyDescent="0.25">
      <c r="B10" s="4" t="s">
        <v>13</v>
      </c>
      <c r="C10" s="8" t="s">
        <v>4</v>
      </c>
      <c r="D10" s="39">
        <v>105.23</v>
      </c>
    </row>
    <row r="11" spans="2:16" ht="18" hidden="1" customHeight="1" x14ac:dyDescent="0.25">
      <c r="B11" s="4" t="s">
        <v>14</v>
      </c>
      <c r="C11" s="8" t="s">
        <v>4</v>
      </c>
      <c r="D11" s="39">
        <v>30.37</v>
      </c>
      <c r="F11" s="13"/>
      <c r="G11" s="13"/>
    </row>
    <row r="12" spans="2:16" ht="18" hidden="1" customHeight="1" x14ac:dyDescent="0.25">
      <c r="B12" s="6" t="s">
        <v>16</v>
      </c>
      <c r="C12" s="5" t="s">
        <v>7</v>
      </c>
      <c r="D12" s="40">
        <v>7000</v>
      </c>
    </row>
    <row r="13" spans="2:16" ht="18" hidden="1" customHeight="1" x14ac:dyDescent="0.25">
      <c r="B13" s="6" t="s">
        <v>15</v>
      </c>
      <c r="C13" s="5" t="s">
        <v>7</v>
      </c>
      <c r="D13" s="40">
        <v>21000</v>
      </c>
    </row>
    <row r="14" spans="2:16" ht="18" hidden="1" customHeight="1" x14ac:dyDescent="0.25">
      <c r="B14" s="6" t="s">
        <v>6</v>
      </c>
      <c r="C14" s="3" t="s">
        <v>5</v>
      </c>
      <c r="D14" s="40">
        <v>1.2999999999999999E-2</v>
      </c>
    </row>
    <row r="15" spans="2:16" ht="18" hidden="1" customHeight="1" thickBot="1" x14ac:dyDescent="0.3">
      <c r="F15" s="31" t="s">
        <v>2</v>
      </c>
      <c r="G15" s="31" t="s">
        <v>3</v>
      </c>
      <c r="I15" s="44" t="s">
        <v>35</v>
      </c>
    </row>
    <row r="16" spans="2:16" ht="18" customHeight="1" x14ac:dyDescent="0.3">
      <c r="B16" s="2" t="s">
        <v>27</v>
      </c>
      <c r="C16" s="13"/>
      <c r="D16" s="42"/>
      <c r="F16" s="32">
        <v>5</v>
      </c>
      <c r="G16" s="33">
        <v>0.8</v>
      </c>
      <c r="I16" s="102" t="s">
        <v>30</v>
      </c>
      <c r="J16" s="103"/>
      <c r="K16" s="53">
        <v>0.6</v>
      </c>
      <c r="L16" s="54">
        <v>0.6</v>
      </c>
      <c r="M16" s="53">
        <v>0.7</v>
      </c>
      <c r="N16" s="56">
        <v>0.7</v>
      </c>
      <c r="O16" s="55">
        <v>0.8</v>
      </c>
      <c r="P16" s="56">
        <v>0.8</v>
      </c>
    </row>
    <row r="17" spans="2:16" ht="18" customHeight="1" x14ac:dyDescent="0.25">
      <c r="B17" s="24" t="s">
        <v>17</v>
      </c>
      <c r="C17" s="12" t="s">
        <v>24</v>
      </c>
      <c r="D17" s="41" t="s">
        <v>26</v>
      </c>
      <c r="F17" s="34">
        <v>10</v>
      </c>
      <c r="G17" s="35">
        <v>0.8</v>
      </c>
      <c r="I17" s="102" t="s">
        <v>2</v>
      </c>
      <c r="J17" s="103"/>
      <c r="K17" s="57">
        <v>5</v>
      </c>
      <c r="L17" s="45">
        <v>15</v>
      </c>
      <c r="M17" s="57">
        <v>5</v>
      </c>
      <c r="N17" s="58">
        <v>15</v>
      </c>
      <c r="O17" s="46">
        <v>5</v>
      </c>
      <c r="P17" s="58">
        <v>15</v>
      </c>
    </row>
    <row r="18" spans="2:16" ht="18" customHeight="1" x14ac:dyDescent="0.25">
      <c r="B18" s="4" t="s">
        <v>18</v>
      </c>
      <c r="C18" s="5" t="s">
        <v>0</v>
      </c>
      <c r="D18" s="28">
        <v>20</v>
      </c>
      <c r="F18" s="34">
        <v>15</v>
      </c>
      <c r="G18" s="35">
        <v>0.8</v>
      </c>
      <c r="I18" s="97" t="s">
        <v>31</v>
      </c>
      <c r="J18" s="51">
        <v>45</v>
      </c>
      <c r="K18" s="61">
        <f>(($D$10*$D$12*10000/($D$21*$D$14*((K$16*(((VLOOKUP(K$17,$F$16:$G$22,2))*$J18))+((K$16-0.022)*($D$18/COS(K$17*PI()/180))))+($D$8/COS(K$17*PI()/180)))))^(1/3))/100</f>
        <v>4.3187824592919881</v>
      </c>
      <c r="L18" s="62">
        <f t="shared" ref="L18:P18" si="0">(($D$10*$D$12*10000/($D$21*$D$14*((L$16*(((VLOOKUP(L$17,$F$16:$G$22,2))*$J18))+((L$16-0.022)*($D$18/COS(L$17*PI()/180))))+($D$8/COS(L$17*PI()/180)))))^(1/3))/100</f>
        <v>4.3015149188469906</v>
      </c>
      <c r="M18" s="61">
        <f t="shared" si="0"/>
        <v>4.1109776853686739</v>
      </c>
      <c r="N18" s="63">
        <f t="shared" si="0"/>
        <v>4.0947027539211396</v>
      </c>
      <c r="O18" s="64">
        <f t="shared" si="0"/>
        <v>3.9381540155052259</v>
      </c>
      <c r="P18" s="63">
        <f t="shared" si="0"/>
        <v>3.9226807808935358</v>
      </c>
    </row>
    <row r="19" spans="2:16" ht="18" customHeight="1" x14ac:dyDescent="0.25">
      <c r="B19" s="4" t="s">
        <v>19</v>
      </c>
      <c r="C19" s="5" t="s">
        <v>0</v>
      </c>
      <c r="D19" s="29">
        <v>45</v>
      </c>
      <c r="F19" s="47">
        <v>20</v>
      </c>
      <c r="G19" s="48">
        <v>0.8</v>
      </c>
      <c r="I19" s="104"/>
      <c r="J19" s="52">
        <v>55</v>
      </c>
      <c r="K19" s="65">
        <f t="shared" ref="K19:P22" si="1">(($D$10*$D$12*10000/($D$21*$D$14*((K$16*(((VLOOKUP(K$17,$F$16:$G$22,2))*$J19))+((K$16-0.022)*($D$18/COS(K$17*PI()/180))))+($D$8/COS(K$17*PI()/180)))))^(1/3))/100</f>
        <v>4.138481823113203</v>
      </c>
      <c r="L19" s="66">
        <f t="shared" si="1"/>
        <v>4.1239082657265334</v>
      </c>
      <c r="M19" s="65">
        <f t="shared" si="1"/>
        <v>3.9383702414716764</v>
      </c>
      <c r="N19" s="67">
        <f t="shared" si="1"/>
        <v>3.9246481841932512</v>
      </c>
      <c r="O19" s="68">
        <f t="shared" si="1"/>
        <v>3.7720900890318232</v>
      </c>
      <c r="P19" s="67">
        <f t="shared" si="1"/>
        <v>3.7590538743665918</v>
      </c>
    </row>
    <row r="20" spans="2:16" ht="18" customHeight="1" x14ac:dyDescent="0.25">
      <c r="B20" s="4" t="s">
        <v>20</v>
      </c>
      <c r="C20" s="5" t="s">
        <v>1</v>
      </c>
      <c r="D20" s="30">
        <v>0.7</v>
      </c>
      <c r="F20" s="47">
        <v>25</v>
      </c>
      <c r="G20" s="48">
        <v>0.8</v>
      </c>
      <c r="I20" s="104"/>
      <c r="J20" s="52">
        <v>65</v>
      </c>
      <c r="K20" s="65">
        <f t="shared" si="1"/>
        <v>3.9849571150408347</v>
      </c>
      <c r="L20" s="66">
        <f t="shared" si="1"/>
        <v>3.9724192582613274</v>
      </c>
      <c r="M20" s="65">
        <f t="shared" si="1"/>
        <v>3.7915267050821586</v>
      </c>
      <c r="N20" s="67">
        <f t="shared" si="1"/>
        <v>3.7797306988129069</v>
      </c>
      <c r="O20" s="68">
        <f t="shared" si="1"/>
        <v>3.6309083537597742</v>
      </c>
      <c r="P20" s="67">
        <f t="shared" si="1"/>
        <v>3.6197086009458803</v>
      </c>
    </row>
    <row r="21" spans="2:16" ht="18" hidden="1" customHeight="1" x14ac:dyDescent="0.25">
      <c r="B21" s="19" t="s">
        <v>21</v>
      </c>
      <c r="C21" s="4"/>
      <c r="D21" s="37">
        <v>200</v>
      </c>
      <c r="F21" s="47">
        <v>30</v>
      </c>
      <c r="G21" s="48">
        <f>0.8*(60-$F21)/30</f>
        <v>0.8</v>
      </c>
      <c r="I21" s="104"/>
      <c r="J21" s="52">
        <v>90</v>
      </c>
      <c r="K21" s="65">
        <f t="shared" si="1"/>
        <v>3.681686652923351</v>
      </c>
      <c r="L21" s="66">
        <f t="shared" si="1"/>
        <v>3.6725393524055145</v>
      </c>
      <c r="M21" s="65">
        <f t="shared" si="1"/>
        <v>3.5017711264912754</v>
      </c>
      <c r="N21" s="67">
        <f t="shared" si="1"/>
        <v>3.4931769895795748</v>
      </c>
      <c r="O21" s="68">
        <f t="shared" si="1"/>
        <v>3.3525550299620157</v>
      </c>
      <c r="P21" s="67">
        <f t="shared" si="1"/>
        <v>3.3444038510124945</v>
      </c>
    </row>
    <row r="22" spans="2:16" ht="18" customHeight="1" thickBot="1" x14ac:dyDescent="0.3">
      <c r="B22" s="11" t="s">
        <v>2</v>
      </c>
      <c r="C22" s="36"/>
      <c r="D22" s="29">
        <v>10</v>
      </c>
      <c r="F22" s="26"/>
      <c r="G22" s="27"/>
      <c r="I22" s="99"/>
      <c r="J22" s="60">
        <v>140</v>
      </c>
      <c r="K22" s="85">
        <f t="shared" si="1"/>
        <v>3.2734339230721918</v>
      </c>
      <c r="L22" s="87">
        <f t="shared" si="1"/>
        <v>3.267709117067926</v>
      </c>
      <c r="M22" s="85">
        <f t="shared" si="1"/>
        <v>3.1122818733051902</v>
      </c>
      <c r="N22" s="86">
        <f t="shared" si="1"/>
        <v>3.1069115351148651</v>
      </c>
      <c r="O22" s="88">
        <f t="shared" si="1"/>
        <v>2.978805688487876</v>
      </c>
      <c r="P22" s="86">
        <f t="shared" si="1"/>
        <v>2.9737180583450158</v>
      </c>
    </row>
    <row r="23" spans="2:16" ht="18" customHeight="1" thickBot="1" x14ac:dyDescent="0.3">
      <c r="F23" s="16"/>
      <c r="G23" s="17"/>
      <c r="I23" s="44" t="s">
        <v>36</v>
      </c>
    </row>
    <row r="24" spans="2:16" ht="18" customHeight="1" x14ac:dyDescent="0.3">
      <c r="B24" s="2" t="s">
        <v>28</v>
      </c>
      <c r="C24" s="21" t="s">
        <v>22</v>
      </c>
      <c r="D24" s="23" t="s">
        <v>23</v>
      </c>
      <c r="I24" s="97" t="s">
        <v>31</v>
      </c>
      <c r="J24" s="51">
        <v>45</v>
      </c>
      <c r="K24" s="81">
        <f>0.97*((((($D$10*$D$12)+($D$11*$D$13))*10000/($D$21*$D$14*((K$16*(((VLOOKUP(K$17,$F$16:$G$22,2))*$J24))+((K$16-0.022)*($D$18/COS(K$17*PI()/180))))+(($D$8+$D$9)/COS(K$17*PI()/180)))))^(1/3))/100)</f>
        <v>4.9943344815662902</v>
      </c>
      <c r="L24" s="82">
        <f t="shared" ref="L24:P24" si="2">0.97*((((($D$10*$D$12)+($D$11*$D$13))*10000/($D$21*$D$14*((L$16*(((VLOOKUP(L$17,$F$16:$G$22,2))*$J24))+((L$16-0.022)*($D$18/COS(L$17*PI()/180))))+(($D$8+$D$9)/COS(L$17*PI()/180)))))^(1/3))/100)</f>
        <v>4.9714737181496087</v>
      </c>
      <c r="M24" s="81">
        <f t="shared" si="2"/>
        <v>4.7742072110254199</v>
      </c>
      <c r="N24" s="83">
        <f t="shared" si="2"/>
        <v>4.7528758130452351</v>
      </c>
      <c r="O24" s="84">
        <f t="shared" si="2"/>
        <v>4.5883823738371605</v>
      </c>
      <c r="P24" s="83">
        <f t="shared" si="2"/>
        <v>4.5682702520385323</v>
      </c>
    </row>
    <row r="25" spans="2:16" ht="18" hidden="1" customHeight="1" x14ac:dyDescent="0.3">
      <c r="B25" s="9" t="s">
        <v>29</v>
      </c>
      <c r="C25" s="43">
        <f>(D20*((VLOOKUP(D22,F16:G21,2))*D19)+((D20-0.022)*(D18/COS($D$22*PI()/180))))+(D8/COS($D$22*PI()/180))</f>
        <v>40.958405589854877</v>
      </c>
      <c r="D25" s="43">
        <f>D20*((VLOOKUP(D22,F16:G21,2))*D19)+((D20-0.022)*(D18/COS($D$22*PI()/180)))+((D8+D9)/COS($D$22*PI()/180))</f>
        <v>44.556062075766071</v>
      </c>
      <c r="I25" s="98"/>
      <c r="J25" s="52">
        <v>55</v>
      </c>
      <c r="K25" s="65">
        <f t="shared" ref="K25:P28" si="3">0.97*((((($D$10*$D$12)+($D$11*$D$13))*10000/($D$21*$D$14*((K$16*(((VLOOKUP(K$17,$F$16:$G$22,2))*$J25))+((K$16-0.022)*($D$18/COS(K$17*PI()/180))))+(($D$8+$D$9)/COS(K$17*PI()/180)))))^(1/3))/100)</f>
        <v>4.8035546544550396</v>
      </c>
      <c r="L25" s="66">
        <f t="shared" si="3"/>
        <v>4.7839721347993729</v>
      </c>
      <c r="M25" s="65">
        <f t="shared" si="3"/>
        <v>4.5886163586423834</v>
      </c>
      <c r="N25" s="67">
        <f t="shared" si="3"/>
        <v>4.5703952214043602</v>
      </c>
      <c r="O25" s="68">
        <f t="shared" si="3"/>
        <v>4.4076216645624022</v>
      </c>
      <c r="P25" s="67">
        <f t="shared" si="3"/>
        <v>4.3904793993689815</v>
      </c>
    </row>
    <row r="26" spans="2:16" ht="18" customHeight="1" x14ac:dyDescent="0.3">
      <c r="B26" s="9" t="s">
        <v>40</v>
      </c>
      <c r="C26" s="59">
        <f>((D10*D12*10000/(D21*D14*C25))^(1/3))/100</f>
        <v>4.1049424553048075</v>
      </c>
      <c r="D26" s="59">
        <f>0.97*(((((D10*D12)+(D11*D13))*10000/(D21*D14*D25))^(1/3))/100)</f>
        <v>4.7662918003125769</v>
      </c>
      <c r="I26" s="98"/>
      <c r="J26" s="52">
        <v>65</v>
      </c>
      <c r="K26" s="65">
        <f t="shared" si="3"/>
        <v>4.6389436132414481</v>
      </c>
      <c r="L26" s="66">
        <f t="shared" si="3"/>
        <v>4.6218967321411899</v>
      </c>
      <c r="M26" s="65">
        <f t="shared" si="3"/>
        <v>4.4288855136868488</v>
      </c>
      <c r="N26" s="67">
        <f t="shared" si="3"/>
        <v>4.4130594334055298</v>
      </c>
      <c r="O26" s="68">
        <f t="shared" si="3"/>
        <v>4.2523505732320386</v>
      </c>
      <c r="P26" s="67">
        <f t="shared" si="3"/>
        <v>4.2374874152763109</v>
      </c>
    </row>
    <row r="27" spans="2:16" ht="18" customHeight="1" x14ac:dyDescent="0.25">
      <c r="I27" s="98"/>
      <c r="J27" s="52">
        <v>90</v>
      </c>
      <c r="K27" s="65">
        <f t="shared" si="3"/>
        <v>4.3083591540200583</v>
      </c>
      <c r="L27" s="66">
        <f t="shared" si="3"/>
        <v>4.2956577970134768</v>
      </c>
      <c r="M27" s="65">
        <f t="shared" si="3"/>
        <v>4.109119725411011</v>
      </c>
      <c r="N27" s="67">
        <f t="shared" si="3"/>
        <v>4.0973757603294532</v>
      </c>
      <c r="O27" s="68">
        <f t="shared" si="3"/>
        <v>3.9422719484277331</v>
      </c>
      <c r="P27" s="67">
        <f t="shared" si="3"/>
        <v>3.9312768986194309</v>
      </c>
    </row>
    <row r="28" spans="2:16" ht="18" customHeight="1" thickBot="1" x14ac:dyDescent="0.3">
      <c r="I28" s="99"/>
      <c r="J28" s="60">
        <v>140</v>
      </c>
      <c r="K28" s="85">
        <f t="shared" si="3"/>
        <v>3.8532487387938454</v>
      </c>
      <c r="L28" s="87">
        <f t="shared" si="3"/>
        <v>3.845108467770372</v>
      </c>
      <c r="M28" s="85">
        <f t="shared" si="3"/>
        <v>3.6708193092407297</v>
      </c>
      <c r="N28" s="86">
        <f t="shared" si="3"/>
        <v>3.6633275523769679</v>
      </c>
      <c r="O28" s="88">
        <f t="shared" si="3"/>
        <v>3.5186670994649365</v>
      </c>
      <c r="P28" s="86">
        <f t="shared" si="3"/>
        <v>3.5116779704609931</v>
      </c>
    </row>
    <row r="29" spans="2:16" ht="18" customHeight="1" thickBot="1" x14ac:dyDescent="0.3"/>
    <row r="30" spans="2:16" ht="18" customHeight="1" x14ac:dyDescent="0.25">
      <c r="H30" s="89"/>
      <c r="I30" s="90"/>
    </row>
    <row r="31" spans="2:16" ht="18" customHeight="1" thickBot="1" x14ac:dyDescent="0.3">
      <c r="H31" s="91"/>
      <c r="I31" s="92"/>
    </row>
    <row r="32" spans="2:16" ht="18" customHeight="1" x14ac:dyDescent="0.25"/>
    <row r="33" spans="4:4" ht="18" customHeight="1" x14ac:dyDescent="0.25"/>
    <row r="34" spans="4:4" ht="18" customHeight="1" x14ac:dyDescent="0.25"/>
    <row r="35" spans="4:4" ht="18" customHeight="1" x14ac:dyDescent="0.25"/>
    <row r="36" spans="4:4" ht="18" customHeight="1" x14ac:dyDescent="0.25"/>
    <row r="37" spans="4:4" ht="18" customHeight="1" x14ac:dyDescent="0.3">
      <c r="D37" s="1"/>
    </row>
    <row r="38" spans="4:4" ht="18" customHeight="1" x14ac:dyDescent="0.25"/>
    <row r="39" spans="4:4" ht="18" customHeight="1" x14ac:dyDescent="0.25"/>
    <row r="40" spans="4:4" ht="18" customHeight="1" x14ac:dyDescent="0.25"/>
    <row r="41" spans="4:4" ht="18" customHeight="1" x14ac:dyDescent="0.25"/>
    <row r="42" spans="4:4" ht="18" customHeight="1" x14ac:dyDescent="0.25"/>
    <row r="43" spans="4:4" ht="18" customHeight="1" x14ac:dyDescent="0.25"/>
    <row r="44" spans="4:4" ht="18" customHeight="1" x14ac:dyDescent="0.25"/>
    <row r="45" spans="4:4" ht="18" customHeight="1" x14ac:dyDescent="0.25"/>
    <row r="46" spans="4:4" ht="18" customHeight="1" x14ac:dyDescent="0.25"/>
    <row r="47" spans="4:4" ht="18" customHeight="1" x14ac:dyDescent="0.25"/>
    <row r="48" spans="4:4" ht="18" customHeight="1" x14ac:dyDescent="0.25"/>
    <row r="49" ht="18" customHeight="1" x14ac:dyDescent="0.25"/>
    <row r="50" ht="18" customHeight="1" x14ac:dyDescent="0.25"/>
  </sheetData>
  <sheetProtection algorithmName="SHA-512" hashValue="bKOsvzPfAN8Zjnnb7kwjyef2cuEO520jDmW1TwZhHsxUErwZ10aWWI06ykYKCrVhmWmlI/MDEGzMXSSd0dPjzA==" saltValue="JABPe8GvDwLbus9OhxwUeA==" spinCount="100000" sheet="1" objects="1" scenarios="1"/>
  <mergeCells count="5">
    <mergeCell ref="I24:I28"/>
    <mergeCell ref="B2:D2"/>
    <mergeCell ref="I16:J16"/>
    <mergeCell ref="I17:J17"/>
    <mergeCell ref="I18:I22"/>
  </mergeCells>
  <phoneticPr fontId="0" type="noConversion"/>
  <pageMargins left="0.39370078740157483" right="0" top="0.39370078740157483" bottom="0" header="0" footer="0"/>
  <pageSetup paperSize="9" scale="8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D8B1-8385-4DD8-9D65-B373262E63C6}">
  <sheetPr>
    <pageSetUpPr fitToPage="1"/>
  </sheetPr>
  <dimension ref="B1:P50"/>
  <sheetViews>
    <sheetView workbookViewId="0">
      <selection activeCell="D36" sqref="D36"/>
    </sheetView>
  </sheetViews>
  <sheetFormatPr baseColWidth="10" defaultRowHeight="12.6" x14ac:dyDescent="0.25"/>
  <cols>
    <col min="1" max="1" width="1.77734375" customWidth="1"/>
    <col min="2" max="2" width="39.109375" bestFit="1" customWidth="1"/>
    <col min="3" max="4" width="22.77734375" customWidth="1"/>
    <col min="5" max="5" width="1.77734375" customWidth="1"/>
    <col min="6" max="7" width="10.77734375" hidden="1" customWidth="1"/>
    <col min="8" max="8" width="5.77734375" customWidth="1"/>
    <col min="9" max="10" width="5.77734375" hidden="1" customWidth="1"/>
    <col min="11" max="16" width="7.77734375" hidden="1" customWidth="1"/>
    <col min="17" max="17" width="11.109375" customWidth="1"/>
  </cols>
  <sheetData>
    <row r="1" spans="2:16" ht="12.9" customHeight="1" x14ac:dyDescent="0.25">
      <c r="B1" s="105" t="s">
        <v>41</v>
      </c>
    </row>
    <row r="2" spans="2:16" ht="18" customHeight="1" x14ac:dyDescent="0.25">
      <c r="B2" s="100" t="s">
        <v>9</v>
      </c>
      <c r="C2" s="101"/>
      <c r="D2" s="101"/>
      <c r="E2" s="18"/>
      <c r="F2" s="18"/>
      <c r="G2" s="18"/>
      <c r="H2" s="18"/>
    </row>
    <row r="3" spans="2:16" ht="18" customHeight="1" x14ac:dyDescent="0.25">
      <c r="B3" s="22" t="s">
        <v>33</v>
      </c>
      <c r="C3" s="50"/>
      <c r="D3" s="50"/>
      <c r="E3" s="18"/>
      <c r="F3" s="18"/>
      <c r="G3" s="18"/>
      <c r="H3" s="18"/>
    </row>
    <row r="4" spans="2:16" ht="18" customHeight="1" x14ac:dyDescent="0.25">
      <c r="B4" s="22" t="s">
        <v>10</v>
      </c>
    </row>
    <row r="5" spans="2:16" ht="4.95" customHeight="1" thickBot="1" x14ac:dyDescent="0.3"/>
    <row r="6" spans="2:16" ht="18" hidden="1" customHeight="1" x14ac:dyDescent="0.3">
      <c r="B6" s="2" t="s">
        <v>32</v>
      </c>
    </row>
    <row r="7" spans="2:16" ht="18" hidden="1" customHeight="1" x14ac:dyDescent="0.25">
      <c r="B7" s="10" t="s">
        <v>17</v>
      </c>
      <c r="C7" s="7" t="s">
        <v>25</v>
      </c>
    </row>
    <row r="8" spans="2:16" ht="18" hidden="1" customHeight="1" x14ac:dyDescent="0.25">
      <c r="B8" s="4" t="s">
        <v>11</v>
      </c>
      <c r="C8" s="8" t="s">
        <v>8</v>
      </c>
      <c r="D8" s="38">
        <v>1.9590000000000001</v>
      </c>
      <c r="F8" s="13"/>
      <c r="G8" s="14"/>
      <c r="H8" s="14"/>
    </row>
    <row r="9" spans="2:16" ht="18" hidden="1" customHeight="1" x14ac:dyDescent="0.25">
      <c r="B9" s="4" t="s">
        <v>12</v>
      </c>
      <c r="C9" s="8" t="s">
        <v>8</v>
      </c>
      <c r="D9" s="38">
        <v>3.5430000000000001</v>
      </c>
      <c r="F9" s="15"/>
      <c r="G9" s="13"/>
      <c r="H9" s="13"/>
    </row>
    <row r="10" spans="2:16" ht="18" hidden="1" customHeight="1" x14ac:dyDescent="0.25">
      <c r="B10" s="4" t="s">
        <v>13</v>
      </c>
      <c r="C10" s="8" t="s">
        <v>4</v>
      </c>
      <c r="D10" s="39">
        <v>105.23</v>
      </c>
    </row>
    <row r="11" spans="2:16" ht="18" hidden="1" customHeight="1" x14ac:dyDescent="0.25">
      <c r="B11" s="4" t="s">
        <v>14</v>
      </c>
      <c r="C11" s="8" t="s">
        <v>4</v>
      </c>
      <c r="D11" s="39">
        <v>30.37</v>
      </c>
      <c r="F11" s="13"/>
      <c r="G11" s="13"/>
    </row>
    <row r="12" spans="2:16" ht="18" hidden="1" customHeight="1" x14ac:dyDescent="0.25">
      <c r="B12" s="6" t="s">
        <v>16</v>
      </c>
      <c r="C12" s="5" t="s">
        <v>7</v>
      </c>
      <c r="D12" s="40">
        <v>7000</v>
      </c>
    </row>
    <row r="13" spans="2:16" ht="18" hidden="1" customHeight="1" x14ac:dyDescent="0.25">
      <c r="B13" s="6" t="s">
        <v>15</v>
      </c>
      <c r="C13" s="5" t="s">
        <v>7</v>
      </c>
      <c r="D13" s="40">
        <v>21000</v>
      </c>
    </row>
    <row r="14" spans="2:16" ht="18" hidden="1" customHeight="1" x14ac:dyDescent="0.25">
      <c r="B14" s="6" t="s">
        <v>6</v>
      </c>
      <c r="C14" s="3" t="s">
        <v>5</v>
      </c>
      <c r="D14" s="40">
        <v>1.2999999999999999E-2</v>
      </c>
    </row>
    <row r="15" spans="2:16" ht="18" hidden="1" customHeight="1" thickBot="1" x14ac:dyDescent="0.3">
      <c r="F15" s="31" t="s">
        <v>2</v>
      </c>
      <c r="G15" s="31" t="s">
        <v>3</v>
      </c>
      <c r="I15" s="49" t="s">
        <v>37</v>
      </c>
    </row>
    <row r="16" spans="2:16" ht="18" customHeight="1" x14ac:dyDescent="0.3">
      <c r="B16" s="2" t="s">
        <v>27</v>
      </c>
      <c r="C16" s="13"/>
      <c r="D16" s="42"/>
      <c r="F16" s="32">
        <v>5</v>
      </c>
      <c r="G16" s="33">
        <v>0.8</v>
      </c>
      <c r="I16" s="102" t="s">
        <v>30</v>
      </c>
      <c r="J16" s="103"/>
      <c r="K16" s="53">
        <v>1.1000000000000001</v>
      </c>
      <c r="L16" s="54">
        <v>1.1000000000000001</v>
      </c>
      <c r="M16" s="53">
        <v>1.2</v>
      </c>
      <c r="N16" s="56">
        <v>1.2</v>
      </c>
      <c r="O16" s="55">
        <v>1.3</v>
      </c>
      <c r="P16" s="56">
        <v>1.3</v>
      </c>
    </row>
    <row r="17" spans="2:16" ht="18" customHeight="1" x14ac:dyDescent="0.25">
      <c r="B17" s="24" t="s">
        <v>17</v>
      </c>
      <c r="C17" s="12" t="s">
        <v>24</v>
      </c>
      <c r="D17" s="41" t="s">
        <v>26</v>
      </c>
      <c r="F17" s="34">
        <v>10</v>
      </c>
      <c r="G17" s="35">
        <v>0.8</v>
      </c>
      <c r="I17" s="102" t="s">
        <v>2</v>
      </c>
      <c r="J17" s="103"/>
      <c r="K17" s="57">
        <v>5</v>
      </c>
      <c r="L17" s="45">
        <v>15</v>
      </c>
      <c r="M17" s="57">
        <v>5</v>
      </c>
      <c r="N17" s="58">
        <v>15</v>
      </c>
      <c r="O17" s="46">
        <v>5</v>
      </c>
      <c r="P17" s="58">
        <v>15</v>
      </c>
    </row>
    <row r="18" spans="2:16" ht="18" customHeight="1" x14ac:dyDescent="0.25">
      <c r="B18" s="4" t="s">
        <v>18</v>
      </c>
      <c r="C18" s="5" t="s">
        <v>0</v>
      </c>
      <c r="D18" s="28">
        <v>5</v>
      </c>
      <c r="F18" s="34">
        <v>15</v>
      </c>
      <c r="G18" s="35">
        <v>0.8</v>
      </c>
      <c r="I18" s="97" t="s">
        <v>31</v>
      </c>
      <c r="J18" s="51">
        <v>45</v>
      </c>
      <c r="K18" s="69">
        <f>1.07*((($D$10*$D$12*10000/($D$21*$D$14*((K$16*(((VLOOKUP(K$17,$F$16:$G$22,2))*$J18))+((K$16-0.022)*($D$18/COS(K$17*PI()/180))))+($D$8/COS(K$17*PI()/180)))))^(1/3))/100)</f>
        <v>4.1960747579929718</v>
      </c>
      <c r="L18" s="70">
        <f t="shared" ref="L18:P18" si="0">1.07*((($D$10*$D$12*10000/($D$21*$D$14*((L$16*(((VLOOKUP(L$17,$F$16:$G$22,2))*$J18))+((L$16-0.022)*($D$18/COS(L$17*PI()/180))))+($D$8/COS(L$17*PI()/180)))))^(1/3))/100)</f>
        <v>4.1892143359183409</v>
      </c>
      <c r="M18" s="69">
        <f t="shared" si="0"/>
        <v>4.0806040320869039</v>
      </c>
      <c r="N18" s="71">
        <f t="shared" si="0"/>
        <v>4.0740503250728919</v>
      </c>
      <c r="O18" s="72">
        <f t="shared" si="0"/>
        <v>3.9768782311346142</v>
      </c>
      <c r="P18" s="71">
        <f t="shared" si="0"/>
        <v>3.9705889656509226</v>
      </c>
    </row>
    <row r="19" spans="2:16" ht="18" customHeight="1" x14ac:dyDescent="0.25">
      <c r="B19" s="4" t="s">
        <v>19</v>
      </c>
      <c r="C19" s="5" t="s">
        <v>0</v>
      </c>
      <c r="D19" s="29">
        <v>45</v>
      </c>
      <c r="F19" s="47">
        <v>20</v>
      </c>
      <c r="G19" s="48">
        <v>0.8</v>
      </c>
      <c r="I19" s="104"/>
      <c r="J19" s="52">
        <v>55</v>
      </c>
      <c r="K19" s="73">
        <f t="shared" ref="K19:P22" si="1">1.07*((($D$10*$D$12*10000/($D$21*$D$14*((K$16*(((VLOOKUP(K$17,$F$16:$G$22,2))*$J19))+((K$16-0.022)*($D$18/COS(K$17*PI()/180))))+($D$8/COS(K$17*PI()/180)))))^(1/3))/100)</f>
        <v>3.9626583274208405</v>
      </c>
      <c r="L19" s="74">
        <f t="shared" si="1"/>
        <v>3.9571988840788963</v>
      </c>
      <c r="M19" s="73">
        <f t="shared" si="1"/>
        <v>3.8529416917395691</v>
      </c>
      <c r="N19" s="75">
        <f t="shared" si="1"/>
        <v>3.8477299907176565</v>
      </c>
      <c r="O19" s="76">
        <f t="shared" si="1"/>
        <v>3.7544479894968963</v>
      </c>
      <c r="P19" s="75">
        <f t="shared" si="1"/>
        <v>3.7494495688500473</v>
      </c>
    </row>
    <row r="20" spans="2:16" ht="18" customHeight="1" x14ac:dyDescent="0.25">
      <c r="B20" s="4" t="s">
        <v>20</v>
      </c>
      <c r="C20" s="5" t="s">
        <v>1</v>
      </c>
      <c r="D20" s="30">
        <v>1.2</v>
      </c>
      <c r="F20" s="47">
        <v>25</v>
      </c>
      <c r="G20" s="48">
        <v>0.8</v>
      </c>
      <c r="I20" s="104"/>
      <c r="J20" s="52">
        <v>65</v>
      </c>
      <c r="K20" s="73">
        <f t="shared" si="1"/>
        <v>3.7738017536963469</v>
      </c>
      <c r="L20" s="74">
        <f t="shared" si="1"/>
        <v>3.7693093255092904</v>
      </c>
      <c r="M20" s="73">
        <f t="shared" si="1"/>
        <v>3.6688507482792305</v>
      </c>
      <c r="N20" s="75">
        <f t="shared" si="1"/>
        <v>3.6645643718299166</v>
      </c>
      <c r="O20" s="76">
        <f t="shared" si="1"/>
        <v>3.5746791694166116</v>
      </c>
      <c r="P20" s="75">
        <f t="shared" si="1"/>
        <v>3.570569992026368</v>
      </c>
    </row>
    <row r="21" spans="2:16" ht="18" hidden="1" customHeight="1" x14ac:dyDescent="0.25">
      <c r="B21" s="19" t="s">
        <v>21</v>
      </c>
      <c r="C21" s="4"/>
      <c r="D21" s="37">
        <v>200</v>
      </c>
      <c r="F21" s="47">
        <v>30</v>
      </c>
      <c r="G21" s="48">
        <f>0.8*(60-$F21)/30</f>
        <v>0.8</v>
      </c>
      <c r="I21" s="104"/>
      <c r="J21" s="52">
        <v>90</v>
      </c>
      <c r="K21" s="73">
        <f t="shared" si="1"/>
        <v>3.4224535864312124</v>
      </c>
      <c r="L21" s="74">
        <f t="shared" si="1"/>
        <v>3.4194128573497946</v>
      </c>
      <c r="M21" s="73">
        <f t="shared" si="1"/>
        <v>3.3265973494732979</v>
      </c>
      <c r="N21" s="75">
        <f t="shared" si="1"/>
        <v>3.3236984756751076</v>
      </c>
      <c r="O21" s="76">
        <f t="shared" si="1"/>
        <v>3.2406510063535365</v>
      </c>
      <c r="P21" s="75">
        <f t="shared" si="1"/>
        <v>3.2378739152507321</v>
      </c>
    </row>
    <row r="22" spans="2:16" ht="18" customHeight="1" thickBot="1" x14ac:dyDescent="0.3">
      <c r="B22" s="11" t="s">
        <v>2</v>
      </c>
      <c r="C22" s="36"/>
      <c r="D22" s="29">
        <v>5</v>
      </c>
      <c r="F22" s="26"/>
      <c r="G22" s="27"/>
      <c r="I22" s="99"/>
      <c r="J22" s="60">
        <v>140</v>
      </c>
      <c r="K22" s="93">
        <f t="shared" si="1"/>
        <v>2.9843486349243333</v>
      </c>
      <c r="L22" s="95">
        <f t="shared" si="1"/>
        <v>2.98258955458398</v>
      </c>
      <c r="M22" s="93">
        <f t="shared" si="1"/>
        <v>2.9001799706313953</v>
      </c>
      <c r="N22" s="94">
        <f t="shared" si="1"/>
        <v>2.8985043200477367</v>
      </c>
      <c r="O22" s="96">
        <f t="shared" si="1"/>
        <v>2.8247688903212267</v>
      </c>
      <c r="P22" s="94">
        <f t="shared" si="1"/>
        <v>2.8231647436261698</v>
      </c>
    </row>
    <row r="23" spans="2:16" ht="18" customHeight="1" thickBot="1" x14ac:dyDescent="0.3">
      <c r="F23" s="16"/>
      <c r="G23" s="17"/>
      <c r="I23" s="49" t="s">
        <v>38</v>
      </c>
    </row>
    <row r="24" spans="2:16" ht="18" customHeight="1" x14ac:dyDescent="0.3">
      <c r="B24" s="2" t="s">
        <v>28</v>
      </c>
      <c r="C24" s="21" t="s">
        <v>22</v>
      </c>
      <c r="D24" s="23" t="s">
        <v>23</v>
      </c>
      <c r="I24" s="97" t="s">
        <v>31</v>
      </c>
      <c r="J24" s="51">
        <v>45</v>
      </c>
      <c r="K24" s="77">
        <f>1.02*((((($D$10*$D$12)+($D$11*$D$13))*10000/($D$21*$D$14*((K$16*(((VLOOKUP(K$17,$F$16:$G$22,2))*$J24))+((K$16-0.022)*($D$18/COS(K$17*PI()/180))))+(($D$8+$D$9)/COS(K$17*PI()/180)))))^(1/3))/100)</f>
        <v>4.8060088806119197</v>
      </c>
      <c r="L24" s="78">
        <f t="shared" ref="L24:P24" si="2">1.02*((((($D$10*$D$12)+($D$11*$D$13))*10000/($D$21*$D$14*((L$16*(((VLOOKUP(L$17,$F$16:$G$22,2))*$J24))+((L$16-0.022)*($D$18/COS(L$17*PI()/180))))+(($D$8+$D$9)/COS(L$17*PI()/180)))))^(1/3))/100)</f>
        <v>4.7951959916684483</v>
      </c>
      <c r="M24" s="77">
        <f t="shared" si="2"/>
        <v>4.6825919702139736</v>
      </c>
      <c r="N24" s="79">
        <f t="shared" si="2"/>
        <v>4.6723989067222078</v>
      </c>
      <c r="O24" s="80">
        <f t="shared" si="2"/>
        <v>4.5709488582857425</v>
      </c>
      <c r="P24" s="79">
        <f t="shared" si="2"/>
        <v>4.5612862446893345</v>
      </c>
    </row>
    <row r="25" spans="2:16" ht="18" hidden="1" customHeight="1" x14ac:dyDescent="0.3">
      <c r="B25" s="9" t="s">
        <v>29</v>
      </c>
      <c r="C25" s="43">
        <f>(D20*((VLOOKUP(D22,F16:G21,2))*D19)+((D20-0.022)*(D18/COS($D$22*PI()/180))))+(D8/COS($D$22*PI()/180))</f>
        <v>51.078981904877729</v>
      </c>
      <c r="D25" s="43">
        <f>D20*((VLOOKUP(D22,F16:G21,2))*D19)+((D20-0.022)*(D18/COS($D$22*PI()/180)))+((D8+D9)/COS($D$22*PI()/180))</f>
        <v>54.63551558929381</v>
      </c>
      <c r="I25" s="98"/>
      <c r="J25" s="52">
        <v>55</v>
      </c>
      <c r="K25" s="73">
        <f t="shared" ref="K25:P28" si="3">1.02*((((($D$10*$D$12)+($D$11*$D$13))*10000/($D$21*$D$14*((K$16*(((VLOOKUP(K$17,$F$16:$G$22,2))*$J25))+((K$16-0.022)*($D$18/COS(K$17*PI()/180))))+(($D$8+$D$9)/COS(K$17*PI()/180)))))^(1/3))/100)</f>
        <v>4.5555877626947678</v>
      </c>
      <c r="L25" s="74">
        <f t="shared" si="3"/>
        <v>4.5468526066402219</v>
      </c>
      <c r="M25" s="73">
        <f t="shared" si="3"/>
        <v>4.4366270886660422</v>
      </c>
      <c r="N25" s="75">
        <f t="shared" si="3"/>
        <v>4.4284074362021277</v>
      </c>
      <c r="O25" s="76">
        <f t="shared" si="3"/>
        <v>4.3291928264987822</v>
      </c>
      <c r="P25" s="75">
        <f t="shared" si="3"/>
        <v>4.3214129480563788</v>
      </c>
    </row>
    <row r="26" spans="2:16" ht="18" customHeight="1" x14ac:dyDescent="0.3">
      <c r="B26" s="9" t="s">
        <v>40</v>
      </c>
      <c r="C26" s="59">
        <f>1.07*(((D10*D12*10000/(D21*D14*C25))^(1/3))/100)</f>
        <v>4.0806040320869039</v>
      </c>
      <c r="D26" s="59">
        <f>1.02*(((((D10*D12)+(D11*D13))*10000/(D21*D14*D25))^(1/3))/100)</f>
        <v>4.6825919702139736</v>
      </c>
      <c r="I26" s="98"/>
      <c r="J26" s="52">
        <v>65</v>
      </c>
      <c r="K26" s="73">
        <f t="shared" si="3"/>
        <v>4.3503500833791495</v>
      </c>
      <c r="L26" s="74">
        <f t="shared" si="3"/>
        <v>4.3430822538445186</v>
      </c>
      <c r="M26" s="73">
        <f t="shared" si="3"/>
        <v>4.2353524908505715</v>
      </c>
      <c r="N26" s="75">
        <f t="shared" si="3"/>
        <v>4.2285226744472295</v>
      </c>
      <c r="O26" s="76">
        <f t="shared" si="3"/>
        <v>4.131624285242995</v>
      </c>
      <c r="P26" s="75">
        <f t="shared" si="3"/>
        <v>4.125167262803684</v>
      </c>
    </row>
    <row r="27" spans="2:16" ht="18" customHeight="1" x14ac:dyDescent="0.25">
      <c r="I27" s="98"/>
      <c r="J27" s="52">
        <v>90</v>
      </c>
      <c r="K27" s="73">
        <f t="shared" si="3"/>
        <v>3.9629240558581911</v>
      </c>
      <c r="L27" s="74">
        <f t="shared" si="3"/>
        <v>3.9579153573998926</v>
      </c>
      <c r="M27" s="73">
        <f t="shared" si="3"/>
        <v>3.8560780754403652</v>
      </c>
      <c r="N27" s="75">
        <f t="shared" si="3"/>
        <v>3.851381541458843</v>
      </c>
      <c r="O27" s="76">
        <f t="shared" si="3"/>
        <v>3.7598960033574111</v>
      </c>
      <c r="P27" s="75">
        <f t="shared" si="3"/>
        <v>3.7554641377322691</v>
      </c>
    </row>
    <row r="28" spans="2:16" ht="18" customHeight="1" thickBot="1" x14ac:dyDescent="0.3">
      <c r="I28" s="99"/>
      <c r="J28" s="60">
        <v>140</v>
      </c>
      <c r="K28" s="93">
        <f t="shared" si="3"/>
        <v>3.4710867275747503</v>
      </c>
      <c r="L28" s="95">
        <f t="shared" si="3"/>
        <v>3.4681363081712746</v>
      </c>
      <c r="M28" s="93">
        <f t="shared" si="3"/>
        <v>3.3756460088541473</v>
      </c>
      <c r="N28" s="94">
        <f t="shared" si="3"/>
        <v>3.3728856224232318</v>
      </c>
      <c r="O28" s="96">
        <f t="shared" si="3"/>
        <v>3.2899054495349498</v>
      </c>
      <c r="P28" s="94">
        <f t="shared" si="3"/>
        <v>3.2873055607334769</v>
      </c>
    </row>
    <row r="29" spans="2:16" ht="18" customHeight="1" x14ac:dyDescent="0.25"/>
    <row r="30" spans="2:16" ht="18" customHeight="1" x14ac:dyDescent="0.25"/>
    <row r="31" spans="2:16" ht="18" customHeight="1" x14ac:dyDescent="0.25"/>
    <row r="32" spans="2:16" ht="18" customHeight="1" x14ac:dyDescent="0.25"/>
    <row r="33" spans="4:4" ht="18" customHeight="1" x14ac:dyDescent="0.25"/>
    <row r="34" spans="4:4" ht="18" customHeight="1" x14ac:dyDescent="0.25"/>
    <row r="35" spans="4:4" ht="18" customHeight="1" x14ac:dyDescent="0.25"/>
    <row r="36" spans="4:4" ht="18" customHeight="1" x14ac:dyDescent="0.25"/>
    <row r="37" spans="4:4" ht="18" customHeight="1" x14ac:dyDescent="0.3">
      <c r="D37" s="1"/>
    </row>
    <row r="38" spans="4:4" ht="18" customHeight="1" x14ac:dyDescent="0.25"/>
    <row r="39" spans="4:4" ht="18" customHeight="1" x14ac:dyDescent="0.25"/>
    <row r="40" spans="4:4" ht="18" customHeight="1" x14ac:dyDescent="0.25"/>
    <row r="41" spans="4:4" ht="18" customHeight="1" x14ac:dyDescent="0.25"/>
    <row r="42" spans="4:4" ht="18" customHeight="1" x14ac:dyDescent="0.25"/>
    <row r="43" spans="4:4" ht="18" customHeight="1" x14ac:dyDescent="0.25"/>
    <row r="44" spans="4:4" ht="18" customHeight="1" x14ac:dyDescent="0.25"/>
    <row r="45" spans="4:4" ht="18" customHeight="1" x14ac:dyDescent="0.25"/>
    <row r="46" spans="4:4" ht="18" customHeight="1" x14ac:dyDescent="0.25"/>
    <row r="47" spans="4:4" ht="18" customHeight="1" x14ac:dyDescent="0.25"/>
    <row r="48" spans="4:4" ht="18" customHeight="1" x14ac:dyDescent="0.25"/>
    <row r="49" ht="18" customHeight="1" x14ac:dyDescent="0.25"/>
    <row r="50" ht="18" customHeight="1" x14ac:dyDescent="0.25"/>
  </sheetData>
  <sheetProtection algorithmName="SHA-512" hashValue="ysMgjwNzNXW8Wgt0fKTl2tis+AmmEyLj18UpV5ebxJnBA4DrlloBBxu8L5vcESblIHeDmBD5hmQvNKAs9vudAw==" saltValue="N2cMJKoLeb/ZJbWCH+rI6w==" spinCount="100000" sheet="1" objects="1" scenarios="1"/>
  <mergeCells count="5">
    <mergeCell ref="B2:D2"/>
    <mergeCell ref="I16:J16"/>
    <mergeCell ref="I17:J17"/>
    <mergeCell ref="I18:I22"/>
    <mergeCell ref="I24:I28"/>
  </mergeCells>
  <pageMargins left="0.39370078740157483" right="0" top="0.39370078740157483" bottom="0" header="0" footer="0"/>
  <pageSetup paperSize="9" scale="8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PORTEE vitrage</vt:lpstr>
      <vt:lpstr>PORTEE plaque</vt:lpstr>
      <vt:lpstr>'PORTEE plaque'!Pente</vt:lpstr>
      <vt:lpstr>Pente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d'Etudes</dc:creator>
  <cp:lastModifiedBy>Bart COUSSENS</cp:lastModifiedBy>
  <cp:lastPrinted>2019-12-19T13:13:20Z</cp:lastPrinted>
  <dcterms:created xsi:type="dcterms:W3CDTF">1999-01-14T13:32:56Z</dcterms:created>
  <dcterms:modified xsi:type="dcterms:W3CDTF">2021-02-18T09:35:30Z</dcterms:modified>
</cp:coreProperties>
</file>