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LATITUDE/INERTIES/CALCULS/CHEVRON/"/>
    </mc:Choice>
  </mc:AlternateContent>
  <xr:revisionPtr revIDLastSave="9" documentId="13_ncr:1_{BD686D67-6292-407D-A693-F40885821FE5}" xr6:coauthVersionLast="46" xr6:coauthVersionMax="46" xr10:uidLastSave="{9F48CDD7-7DED-4320-B31A-D7DCA05F4C2A}"/>
  <bookViews>
    <workbookView xWindow="-108" yWindow="-108" windowWidth="23256" windowHeight="12576" tabRatio="844" xr2:uid="{00000000-000D-0000-FFFF-FFFF00000000}"/>
  </bookViews>
  <sheets>
    <sheet name="Chevron_120 vitrage" sheetId="11" r:id="rId1"/>
    <sheet name="Chevron_143_vitrage" sheetId="16" r:id="rId2"/>
    <sheet name="Chevron_120 plaque" sheetId="18" r:id="rId3"/>
    <sheet name="Chevron_143 plaque" sheetId="19" r:id="rId4"/>
  </sheets>
  <definedNames>
    <definedName name="Appuis" localSheetId="3">#REF!</definedName>
    <definedName name="Appuis" localSheetId="1">#REF!</definedName>
    <definedName name="Appuis">#REF!</definedName>
    <definedName name="Coeff" localSheetId="3">#REF!</definedName>
    <definedName name="Coeff" localSheetId="1">#REF!</definedName>
    <definedName name="Coeff">#REF!</definedName>
    <definedName name="Coeff_Pente" localSheetId="3">#REF!</definedName>
    <definedName name="Coeff_Pente" localSheetId="1">#REF!</definedName>
    <definedName name="Coeff_Pente">#REF!</definedName>
    <definedName name="EIprofil" localSheetId="3">#REF!</definedName>
    <definedName name="EIprofil" localSheetId="1">#REF!</definedName>
    <definedName name="EIprofil">#REF!</definedName>
    <definedName name="EItotal" localSheetId="3">#REF!</definedName>
    <definedName name="EItotal" localSheetId="1">#REF!</definedName>
    <definedName name="EItotal">#REF!</definedName>
    <definedName name="Eprofil" localSheetId="3">#REF!</definedName>
    <definedName name="Eprofil" localSheetId="1">#REF!</definedName>
    <definedName name="Eprofil">#REF!</definedName>
    <definedName name="Erenfort" localSheetId="3">#REF!</definedName>
    <definedName name="Erenfort" localSheetId="1">#REF!</definedName>
    <definedName name="Erenfort">#REF!</definedName>
    <definedName name="f_Acryl" localSheetId="3">#REF!</definedName>
    <definedName name="f_Acryl" localSheetId="1">#REF!</definedName>
    <definedName name="f_Acryl">#REF!</definedName>
    <definedName name="f_DV" localSheetId="3">#REF!</definedName>
    <definedName name="f_DV" localSheetId="1">#REF!</definedName>
    <definedName name="f_DV">#REF!</definedName>
    <definedName name="f_VF" localSheetId="3">#REF!</definedName>
    <definedName name="f_VF" localSheetId="1">#REF!</definedName>
    <definedName name="f_VF">#REF!</definedName>
    <definedName name="Iprofil" localSheetId="3">#REF!</definedName>
    <definedName name="Iprofil" localSheetId="1">#REF!</definedName>
    <definedName name="Iprofil">#REF!</definedName>
    <definedName name="Irenfort" localSheetId="3">#REF!</definedName>
    <definedName name="Irenfort" localSheetId="1">#REF!</definedName>
    <definedName name="Irenfort">#REF!</definedName>
    <definedName name="P_Acryl" localSheetId="3">#REF!</definedName>
    <definedName name="P_Acryl" localSheetId="1">#REF!</definedName>
    <definedName name="P_Acryl">#REF!</definedName>
    <definedName name="P_DV" localSheetId="3">#REF!</definedName>
    <definedName name="P_DV" localSheetId="1">#REF!</definedName>
    <definedName name="P_DV">#REF!</definedName>
    <definedName name="P_VF" localSheetId="3">#REF!</definedName>
    <definedName name="P_VF" localSheetId="1">#REF!</definedName>
    <definedName name="P_VF">#REF!</definedName>
    <definedName name="Pente" localSheetId="2">'Chevron_120 plaque'!$F$14:$F$21</definedName>
    <definedName name="Pente" localSheetId="0">'Chevron_120 vitrage'!$F$14:$F$21</definedName>
    <definedName name="Pente" localSheetId="3">'Chevron_143 plaque'!$F$14:$F$21</definedName>
    <definedName name="Pente" localSheetId="1">Chevron_143_vitrage!$F$14:$F$21</definedName>
    <definedName name="Pente">#REF!</definedName>
    <definedName name="Pprofil" localSheetId="3">#REF!</definedName>
    <definedName name="Pprofil" localSheetId="1">#REF!</definedName>
    <definedName name="Pprofil">#REF!</definedName>
    <definedName name="Prenfort" localSheetId="3">#REF!</definedName>
    <definedName name="Prenfort" localSheetId="1">#REF!</definedName>
    <definedName name="Prenfort">#REF!</definedName>
    <definedName name="Profil" localSheetId="3">#REF!</definedName>
    <definedName name="Profil" localSheetId="1">#REF!</definedName>
    <definedName name="Profil">#REF!</definedName>
    <definedName name="réduction" localSheetId="3">#REF!</definedName>
    <definedName name="réduction" localSheetId="1">#REF!</definedName>
    <definedName name="réduction">#REF!</definedName>
    <definedName name="Rég.A" localSheetId="3">#REF!</definedName>
    <definedName name="Rég.A" localSheetId="1">#REF!</definedName>
    <definedName name="Rég.A">#REF!</definedName>
    <definedName name="Rég.B" localSheetId="3">#REF!</definedName>
    <definedName name="Rég.B" localSheetId="1">#REF!</definedName>
    <definedName name="Rég.B">#REF!</definedName>
    <definedName name="Rég.C" localSheetId="3">#REF!</definedName>
    <definedName name="Rég.C" localSheetId="1">#REF!</definedName>
    <definedName name="Rég.C">#REF!</definedName>
    <definedName name="Rég.D" localSheetId="3">#REF!</definedName>
    <definedName name="Rég.D" localSheetId="1">#REF!</definedName>
    <definedName name="Rég.D">#REF!</definedName>
    <definedName name="résultant" localSheetId="3">#REF!</definedName>
    <definedName name="résultant" localSheetId="1">#REF!</definedName>
    <definedName name="résultan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7" i="19" l="1"/>
  <c r="N17" i="19"/>
  <c r="P17" i="19"/>
  <c r="Q17" i="19"/>
  <c r="R17" i="19"/>
  <c r="T17" i="19"/>
  <c r="U17" i="19"/>
  <c r="V17" i="19"/>
  <c r="M18" i="19"/>
  <c r="N18" i="19"/>
  <c r="P18" i="19"/>
  <c r="Q18" i="19"/>
  <c r="R18" i="19"/>
  <c r="T18" i="19"/>
  <c r="U18" i="19"/>
  <c r="V18" i="19"/>
  <c r="M19" i="19"/>
  <c r="N19" i="19"/>
  <c r="P19" i="19"/>
  <c r="Q19" i="19"/>
  <c r="R19" i="19"/>
  <c r="T19" i="19"/>
  <c r="U19" i="19"/>
  <c r="V19" i="19"/>
  <c r="M20" i="19"/>
  <c r="N20" i="19"/>
  <c r="P20" i="19"/>
  <c r="Q20" i="19"/>
  <c r="R20" i="19"/>
  <c r="T20" i="19"/>
  <c r="U20" i="19"/>
  <c r="V20" i="19"/>
  <c r="M21" i="19"/>
  <c r="N21" i="19"/>
  <c r="P21" i="19"/>
  <c r="Q21" i="19"/>
  <c r="R21" i="19"/>
  <c r="T21" i="19"/>
  <c r="U21" i="19"/>
  <c r="V21" i="19"/>
  <c r="L18" i="19"/>
  <c r="L19" i="19"/>
  <c r="L20" i="19"/>
  <c r="L21" i="19"/>
  <c r="M23" i="19"/>
  <c r="N23" i="19"/>
  <c r="P23" i="19"/>
  <c r="Q23" i="19"/>
  <c r="R23" i="19"/>
  <c r="T23" i="19"/>
  <c r="U23" i="19"/>
  <c r="V23" i="19"/>
  <c r="M24" i="19"/>
  <c r="N24" i="19"/>
  <c r="P24" i="19"/>
  <c r="Q24" i="19"/>
  <c r="R24" i="19"/>
  <c r="T24" i="19"/>
  <c r="U24" i="19"/>
  <c r="V24" i="19"/>
  <c r="M25" i="19"/>
  <c r="N25" i="19"/>
  <c r="P25" i="19"/>
  <c r="Q25" i="19"/>
  <c r="R25" i="19"/>
  <c r="T25" i="19"/>
  <c r="U25" i="19"/>
  <c r="V25" i="19"/>
  <c r="M26" i="19"/>
  <c r="N26" i="19"/>
  <c r="P26" i="19"/>
  <c r="Q26" i="19"/>
  <c r="R26" i="19"/>
  <c r="T26" i="19"/>
  <c r="U26" i="19"/>
  <c r="V26" i="19"/>
  <c r="M27" i="19"/>
  <c r="N27" i="19"/>
  <c r="P27" i="19"/>
  <c r="Q27" i="19"/>
  <c r="R27" i="19"/>
  <c r="T27" i="19"/>
  <c r="U27" i="19"/>
  <c r="V27" i="19"/>
  <c r="L24" i="19"/>
  <c r="L25" i="19"/>
  <c r="L26" i="19"/>
  <c r="L27" i="19"/>
  <c r="L23" i="19"/>
  <c r="L17" i="19"/>
  <c r="M23" i="16"/>
  <c r="N23" i="16"/>
  <c r="P23" i="16"/>
  <c r="Q23" i="16"/>
  <c r="R23" i="16"/>
  <c r="T23" i="16"/>
  <c r="U23" i="16"/>
  <c r="V23" i="16"/>
  <c r="M24" i="16"/>
  <c r="N24" i="16"/>
  <c r="P24" i="16"/>
  <c r="Q24" i="16"/>
  <c r="R24" i="16"/>
  <c r="T24" i="16"/>
  <c r="U24" i="16"/>
  <c r="V24" i="16"/>
  <c r="M25" i="16"/>
  <c r="N25" i="16"/>
  <c r="P25" i="16"/>
  <c r="Q25" i="16"/>
  <c r="R25" i="16"/>
  <c r="T25" i="16"/>
  <c r="U25" i="16"/>
  <c r="V25" i="16"/>
  <c r="M26" i="16"/>
  <c r="N26" i="16"/>
  <c r="P26" i="16"/>
  <c r="Q26" i="16"/>
  <c r="R26" i="16"/>
  <c r="T26" i="16"/>
  <c r="U26" i="16"/>
  <c r="V26" i="16"/>
  <c r="M27" i="16"/>
  <c r="N27" i="16"/>
  <c r="P27" i="16"/>
  <c r="Q27" i="16"/>
  <c r="R27" i="16"/>
  <c r="T27" i="16"/>
  <c r="U27" i="16"/>
  <c r="V27" i="16"/>
  <c r="L24" i="16"/>
  <c r="L25" i="16"/>
  <c r="L26" i="16"/>
  <c r="L27" i="16"/>
  <c r="L23" i="16"/>
  <c r="M17" i="16"/>
  <c r="N17" i="16"/>
  <c r="P17" i="16"/>
  <c r="Q17" i="16"/>
  <c r="R17" i="16"/>
  <c r="T17" i="16"/>
  <c r="U17" i="16"/>
  <c r="V17" i="16"/>
  <c r="M18" i="16"/>
  <c r="N18" i="16"/>
  <c r="P18" i="16"/>
  <c r="Q18" i="16"/>
  <c r="R18" i="16"/>
  <c r="T18" i="16"/>
  <c r="U18" i="16"/>
  <c r="V18" i="16"/>
  <c r="M19" i="16"/>
  <c r="N19" i="16"/>
  <c r="P19" i="16"/>
  <c r="Q19" i="16"/>
  <c r="R19" i="16"/>
  <c r="T19" i="16"/>
  <c r="U19" i="16"/>
  <c r="V19" i="16"/>
  <c r="M20" i="16"/>
  <c r="N20" i="16"/>
  <c r="P20" i="16"/>
  <c r="Q20" i="16"/>
  <c r="R20" i="16"/>
  <c r="T20" i="16"/>
  <c r="U20" i="16"/>
  <c r="V20" i="16"/>
  <c r="M21" i="16"/>
  <c r="N21" i="16"/>
  <c r="P21" i="16"/>
  <c r="Q21" i="16"/>
  <c r="R21" i="16"/>
  <c r="T21" i="16"/>
  <c r="U21" i="16"/>
  <c r="V21" i="16"/>
  <c r="L18" i="16"/>
  <c r="L19" i="16"/>
  <c r="L20" i="16"/>
  <c r="L21" i="16"/>
  <c r="L17" i="16"/>
  <c r="Z17" i="18" l="1"/>
  <c r="L17" i="18" s="1"/>
  <c r="AD17" i="18"/>
  <c r="P17" i="18" s="1"/>
  <c r="G26" i="19"/>
  <c r="C25" i="19" s="1"/>
  <c r="C26" i="19" s="1"/>
  <c r="G25" i="19"/>
  <c r="G24" i="19"/>
  <c r="G23" i="19"/>
  <c r="G22" i="19"/>
  <c r="G21" i="19"/>
  <c r="G20" i="19"/>
  <c r="D42" i="18"/>
  <c r="D41" i="18"/>
  <c r="D40" i="18"/>
  <c r="AJ27" i="18"/>
  <c r="V27" i="18" s="1"/>
  <c r="AI27" i="18"/>
  <c r="U27" i="18" s="1"/>
  <c r="AH27" i="18"/>
  <c r="T27" i="18" s="1"/>
  <c r="AF27" i="18"/>
  <c r="R27" i="18" s="1"/>
  <c r="AE27" i="18"/>
  <c r="Q27" i="18" s="1"/>
  <c r="AD27" i="18"/>
  <c r="P27" i="18" s="1"/>
  <c r="AB27" i="18"/>
  <c r="N27" i="18" s="1"/>
  <c r="AA27" i="18"/>
  <c r="M27" i="18" s="1"/>
  <c r="Z27" i="18"/>
  <c r="L27" i="18" s="1"/>
  <c r="AJ26" i="18"/>
  <c r="V26" i="18" s="1"/>
  <c r="AI26" i="18"/>
  <c r="U26" i="18" s="1"/>
  <c r="AH26" i="18"/>
  <c r="T26" i="18" s="1"/>
  <c r="AF26" i="18"/>
  <c r="R26" i="18" s="1"/>
  <c r="AE26" i="18"/>
  <c r="Q26" i="18" s="1"/>
  <c r="AD26" i="18"/>
  <c r="P26" i="18" s="1"/>
  <c r="AB26" i="18"/>
  <c r="N26" i="18" s="1"/>
  <c r="AA26" i="18"/>
  <c r="M26" i="18" s="1"/>
  <c r="Z26" i="18"/>
  <c r="L26" i="18" s="1"/>
  <c r="G26" i="18"/>
  <c r="D39" i="18" s="1"/>
  <c r="AJ25" i="18"/>
  <c r="V25" i="18" s="1"/>
  <c r="AI25" i="18"/>
  <c r="U25" i="18" s="1"/>
  <c r="AH25" i="18"/>
  <c r="T25" i="18" s="1"/>
  <c r="AF25" i="18"/>
  <c r="R25" i="18" s="1"/>
  <c r="AE25" i="18"/>
  <c r="Q25" i="18" s="1"/>
  <c r="AD25" i="18"/>
  <c r="P25" i="18" s="1"/>
  <c r="AB25" i="18"/>
  <c r="N25" i="18" s="1"/>
  <c r="AA25" i="18"/>
  <c r="M25" i="18" s="1"/>
  <c r="Z25" i="18"/>
  <c r="L25" i="18" s="1"/>
  <c r="G25" i="18"/>
  <c r="AK27" i="18" s="1"/>
  <c r="W27" i="18" s="1"/>
  <c r="AJ24" i="18"/>
  <c r="V24" i="18" s="1"/>
  <c r="AI24" i="18"/>
  <c r="U24" i="18" s="1"/>
  <c r="AH24" i="18"/>
  <c r="T24" i="18" s="1"/>
  <c r="AF24" i="18"/>
  <c r="R24" i="18" s="1"/>
  <c r="AE24" i="18"/>
  <c r="Q24" i="18" s="1"/>
  <c r="AD24" i="18"/>
  <c r="P24" i="18" s="1"/>
  <c r="AB24" i="18"/>
  <c r="N24" i="18" s="1"/>
  <c r="AA24" i="18"/>
  <c r="M24" i="18" s="1"/>
  <c r="Z24" i="18"/>
  <c r="L24" i="18" s="1"/>
  <c r="G24" i="18"/>
  <c r="AJ23" i="18"/>
  <c r="V23" i="18" s="1"/>
  <c r="AI23" i="18"/>
  <c r="U23" i="18" s="1"/>
  <c r="AH23" i="18"/>
  <c r="T23" i="18" s="1"/>
  <c r="AF23" i="18"/>
  <c r="R23" i="18" s="1"/>
  <c r="AE23" i="18"/>
  <c r="Q23" i="18" s="1"/>
  <c r="AD23" i="18"/>
  <c r="P23" i="18" s="1"/>
  <c r="AB23" i="18"/>
  <c r="N23" i="18" s="1"/>
  <c r="AA23" i="18"/>
  <c r="M23" i="18" s="1"/>
  <c r="Z23" i="18"/>
  <c r="L23" i="18" s="1"/>
  <c r="G23" i="18"/>
  <c r="G22" i="18"/>
  <c r="AJ21" i="18"/>
  <c r="V21" i="18" s="1"/>
  <c r="AI21" i="18"/>
  <c r="U21" i="18" s="1"/>
  <c r="AH21" i="18"/>
  <c r="T21" i="18" s="1"/>
  <c r="AF21" i="18"/>
  <c r="R21" i="18" s="1"/>
  <c r="AE21" i="18"/>
  <c r="Q21" i="18" s="1"/>
  <c r="AD21" i="18"/>
  <c r="P21" i="18" s="1"/>
  <c r="AB21" i="18"/>
  <c r="N21" i="18" s="1"/>
  <c r="AA21" i="18"/>
  <c r="M21" i="18" s="1"/>
  <c r="Z21" i="18"/>
  <c r="L21" i="18" s="1"/>
  <c r="G21" i="18"/>
  <c r="AJ20" i="18"/>
  <c r="V20" i="18" s="1"/>
  <c r="AI20" i="18"/>
  <c r="U20" i="18" s="1"/>
  <c r="AH20" i="18"/>
  <c r="T20" i="18" s="1"/>
  <c r="AF20" i="18"/>
  <c r="R20" i="18" s="1"/>
  <c r="AE20" i="18"/>
  <c r="Q20" i="18" s="1"/>
  <c r="AD20" i="18"/>
  <c r="P20" i="18" s="1"/>
  <c r="AB20" i="18"/>
  <c r="N20" i="18" s="1"/>
  <c r="AA20" i="18"/>
  <c r="M20" i="18" s="1"/>
  <c r="Z20" i="18"/>
  <c r="L20" i="18" s="1"/>
  <c r="G20" i="18"/>
  <c r="AJ19" i="18"/>
  <c r="V19" i="18" s="1"/>
  <c r="AI19" i="18"/>
  <c r="U19" i="18" s="1"/>
  <c r="AH19" i="18"/>
  <c r="T19" i="18" s="1"/>
  <c r="AF19" i="18"/>
  <c r="R19" i="18" s="1"/>
  <c r="AE19" i="18"/>
  <c r="Q19" i="18" s="1"/>
  <c r="AD19" i="18"/>
  <c r="P19" i="18" s="1"/>
  <c r="AB19" i="18"/>
  <c r="N19" i="18" s="1"/>
  <c r="AA19" i="18"/>
  <c r="M19" i="18" s="1"/>
  <c r="Z19" i="18"/>
  <c r="L19" i="18" s="1"/>
  <c r="AK18" i="18"/>
  <c r="W18" i="18" s="1"/>
  <c r="AJ18" i="18"/>
  <c r="V18" i="18" s="1"/>
  <c r="AI18" i="18"/>
  <c r="U18" i="18" s="1"/>
  <c r="AH18" i="18"/>
  <c r="T18" i="18" s="1"/>
  <c r="AF18" i="18"/>
  <c r="R18" i="18" s="1"/>
  <c r="AE18" i="18"/>
  <c r="Q18" i="18" s="1"/>
  <c r="AD18" i="18"/>
  <c r="P18" i="18" s="1"/>
  <c r="AB18" i="18"/>
  <c r="N18" i="18" s="1"/>
  <c r="AA18" i="18"/>
  <c r="M18" i="18" s="1"/>
  <c r="Z18" i="18"/>
  <c r="L18" i="18" s="1"/>
  <c r="AJ17" i="18"/>
  <c r="V17" i="18" s="1"/>
  <c r="AI17" i="18"/>
  <c r="U17" i="18" s="1"/>
  <c r="AH17" i="18"/>
  <c r="T17" i="18" s="1"/>
  <c r="AF17" i="18"/>
  <c r="R17" i="18" s="1"/>
  <c r="AE17" i="18"/>
  <c r="Q17" i="18" s="1"/>
  <c r="AC17" i="18"/>
  <c r="O17" i="18" s="1"/>
  <c r="AB17" i="18"/>
  <c r="N17" i="18" s="1"/>
  <c r="AA17" i="18"/>
  <c r="M17" i="18" s="1"/>
  <c r="AA27" i="11"/>
  <c r="M27" i="11" s="1"/>
  <c r="AB27" i="11"/>
  <c r="N27" i="11" s="1"/>
  <c r="AD27" i="11"/>
  <c r="P27" i="11" s="1"/>
  <c r="AE27" i="11"/>
  <c r="Q27" i="11" s="1"/>
  <c r="AF27" i="11"/>
  <c r="R27" i="11" s="1"/>
  <c r="AH27" i="11"/>
  <c r="T27" i="11" s="1"/>
  <c r="AI27" i="11"/>
  <c r="U27" i="11" s="1"/>
  <c r="AJ27" i="11"/>
  <c r="V27" i="11" s="1"/>
  <c r="Z27" i="11"/>
  <c r="L27" i="11" s="1"/>
  <c r="Z21" i="11"/>
  <c r="L21" i="11" s="1"/>
  <c r="AA21" i="11"/>
  <c r="M21" i="11" s="1"/>
  <c r="AB21" i="11"/>
  <c r="N21" i="11" s="1"/>
  <c r="AD21" i="11"/>
  <c r="P21" i="11" s="1"/>
  <c r="AE21" i="11"/>
  <c r="Q21" i="11" s="1"/>
  <c r="AF21" i="11"/>
  <c r="R21" i="11" s="1"/>
  <c r="AH21" i="11"/>
  <c r="T21" i="11" s="1"/>
  <c r="AI21" i="11"/>
  <c r="U21" i="11" s="1"/>
  <c r="AJ21" i="11"/>
  <c r="V21" i="11" s="1"/>
  <c r="AA23" i="11"/>
  <c r="M23" i="11" s="1"/>
  <c r="AB23" i="11"/>
  <c r="N23" i="11" s="1"/>
  <c r="AD23" i="11"/>
  <c r="P23" i="11" s="1"/>
  <c r="AE23" i="11"/>
  <c r="Q23" i="11" s="1"/>
  <c r="AF23" i="11"/>
  <c r="R23" i="11" s="1"/>
  <c r="AH23" i="11"/>
  <c r="T23" i="11" s="1"/>
  <c r="AI23" i="11"/>
  <c r="U23" i="11" s="1"/>
  <c r="AJ23" i="11"/>
  <c r="V23" i="11" s="1"/>
  <c r="AA24" i="11"/>
  <c r="M24" i="11" s="1"/>
  <c r="AB24" i="11"/>
  <c r="N24" i="11" s="1"/>
  <c r="AD24" i="11"/>
  <c r="P24" i="11" s="1"/>
  <c r="AE24" i="11"/>
  <c r="Q24" i="11" s="1"/>
  <c r="AF24" i="11"/>
  <c r="R24" i="11" s="1"/>
  <c r="AH24" i="11"/>
  <c r="T24" i="11" s="1"/>
  <c r="AI24" i="11"/>
  <c r="U24" i="11" s="1"/>
  <c r="AJ24" i="11"/>
  <c r="V24" i="11" s="1"/>
  <c r="AA25" i="11"/>
  <c r="M25" i="11" s="1"/>
  <c r="AB25" i="11"/>
  <c r="N25" i="11" s="1"/>
  <c r="AD25" i="11"/>
  <c r="P25" i="11" s="1"/>
  <c r="AE25" i="11"/>
  <c r="Q25" i="11" s="1"/>
  <c r="AF25" i="11"/>
  <c r="R25" i="11" s="1"/>
  <c r="AH25" i="11"/>
  <c r="T25" i="11" s="1"/>
  <c r="AI25" i="11"/>
  <c r="U25" i="11" s="1"/>
  <c r="AJ25" i="11"/>
  <c r="V25" i="11" s="1"/>
  <c r="AA26" i="11"/>
  <c r="M26" i="11" s="1"/>
  <c r="AB26" i="11"/>
  <c r="N26" i="11" s="1"/>
  <c r="AD26" i="11"/>
  <c r="P26" i="11" s="1"/>
  <c r="AE26" i="11"/>
  <c r="Q26" i="11" s="1"/>
  <c r="AF26" i="11"/>
  <c r="R26" i="11" s="1"/>
  <c r="AH26" i="11"/>
  <c r="T26" i="11" s="1"/>
  <c r="AI26" i="11"/>
  <c r="U26" i="11" s="1"/>
  <c r="AJ26" i="11"/>
  <c r="V26" i="11" s="1"/>
  <c r="Z24" i="11"/>
  <c r="L24" i="11" s="1"/>
  <c r="Z25" i="11"/>
  <c r="L25" i="11" s="1"/>
  <c r="Z26" i="11"/>
  <c r="L26" i="11" s="1"/>
  <c r="Z23" i="11"/>
  <c r="L23" i="11" s="1"/>
  <c r="AA17" i="11"/>
  <c r="M17" i="11" s="1"/>
  <c r="AB17" i="11"/>
  <c r="N17" i="11" s="1"/>
  <c r="AD17" i="11"/>
  <c r="P17" i="11" s="1"/>
  <c r="AE17" i="11"/>
  <c r="Q17" i="11" s="1"/>
  <c r="AF17" i="11"/>
  <c r="R17" i="11" s="1"/>
  <c r="AH17" i="11"/>
  <c r="T17" i="11" s="1"/>
  <c r="AI17" i="11"/>
  <c r="U17" i="11" s="1"/>
  <c r="AJ17" i="11"/>
  <c r="V17" i="11" s="1"/>
  <c r="AA18" i="11"/>
  <c r="M18" i="11" s="1"/>
  <c r="AB18" i="11"/>
  <c r="N18" i="11" s="1"/>
  <c r="AD18" i="11"/>
  <c r="P18" i="11" s="1"/>
  <c r="AE18" i="11"/>
  <c r="Q18" i="11" s="1"/>
  <c r="AF18" i="11"/>
  <c r="R18" i="11" s="1"/>
  <c r="AH18" i="11"/>
  <c r="T18" i="11" s="1"/>
  <c r="AI18" i="11"/>
  <c r="U18" i="11" s="1"/>
  <c r="AJ18" i="11"/>
  <c r="V18" i="11" s="1"/>
  <c r="AA19" i="11"/>
  <c r="M19" i="11" s="1"/>
  <c r="AB19" i="11"/>
  <c r="N19" i="11" s="1"/>
  <c r="AD19" i="11"/>
  <c r="P19" i="11" s="1"/>
  <c r="AE19" i="11"/>
  <c r="Q19" i="11" s="1"/>
  <c r="AF19" i="11"/>
  <c r="R19" i="11" s="1"/>
  <c r="AH19" i="11"/>
  <c r="T19" i="11" s="1"/>
  <c r="AI19" i="11"/>
  <c r="U19" i="11" s="1"/>
  <c r="AJ19" i="11"/>
  <c r="V19" i="11" s="1"/>
  <c r="AA20" i="11"/>
  <c r="M20" i="11" s="1"/>
  <c r="AB20" i="11"/>
  <c r="N20" i="11" s="1"/>
  <c r="AD20" i="11"/>
  <c r="P20" i="11" s="1"/>
  <c r="AE20" i="11"/>
  <c r="Q20" i="11" s="1"/>
  <c r="AF20" i="11"/>
  <c r="R20" i="11" s="1"/>
  <c r="AH20" i="11"/>
  <c r="T20" i="11" s="1"/>
  <c r="AI20" i="11"/>
  <c r="U20" i="11" s="1"/>
  <c r="AJ20" i="11"/>
  <c r="V20" i="11" s="1"/>
  <c r="Z18" i="11"/>
  <c r="L18" i="11" s="1"/>
  <c r="Z19" i="11"/>
  <c r="L19" i="11" s="1"/>
  <c r="Z20" i="11"/>
  <c r="L20" i="11" s="1"/>
  <c r="Z17" i="11"/>
  <c r="L17" i="11" s="1"/>
  <c r="D42" i="11"/>
  <c r="D41" i="11"/>
  <c r="D40" i="11"/>
  <c r="S23" i="19" l="1"/>
  <c r="O17" i="19"/>
  <c r="W17" i="19"/>
  <c r="S26" i="19"/>
  <c r="O20" i="19"/>
  <c r="W20" i="19"/>
  <c r="O25" i="19"/>
  <c r="W25" i="19"/>
  <c r="O23" i="19"/>
  <c r="W23" i="19"/>
  <c r="S19" i="19"/>
  <c r="S24" i="19"/>
  <c r="O18" i="19"/>
  <c r="W18" i="19"/>
  <c r="S17" i="19"/>
  <c r="W21" i="19"/>
  <c r="O26" i="19"/>
  <c r="S27" i="19"/>
  <c r="O21" i="19"/>
  <c r="W26" i="19"/>
  <c r="O27" i="19"/>
  <c r="S20" i="19"/>
  <c r="S25" i="19"/>
  <c r="O19" i="19"/>
  <c r="W19" i="19"/>
  <c r="O24" i="19"/>
  <c r="W24" i="19"/>
  <c r="S18" i="19"/>
  <c r="W27" i="19"/>
  <c r="S21" i="19"/>
  <c r="AG17" i="18"/>
  <c r="S17" i="18" s="1"/>
  <c r="AC18" i="18"/>
  <c r="O18" i="18" s="1"/>
  <c r="AG23" i="18"/>
  <c r="S23" i="18" s="1"/>
  <c r="AC24" i="18"/>
  <c r="O24" i="18" s="1"/>
  <c r="AK19" i="18"/>
  <c r="W19" i="18" s="1"/>
  <c r="AG20" i="18"/>
  <c r="S20" i="18" s="1"/>
  <c r="AC19" i="18"/>
  <c r="O19" i="18" s="1"/>
  <c r="AK17" i="18"/>
  <c r="W17" i="18" s="1"/>
  <c r="D25" i="19"/>
  <c r="D26" i="19" s="1"/>
  <c r="C25" i="18"/>
  <c r="C26" i="18" s="1"/>
  <c r="D25" i="18"/>
  <c r="D26" i="18" s="1"/>
  <c r="D44" i="18"/>
  <c r="D46" i="18" s="1"/>
  <c r="D43" i="18"/>
  <c r="D45" i="18" s="1"/>
  <c r="AG18" i="18"/>
  <c r="S18" i="18" s="1"/>
  <c r="AG19" i="18"/>
  <c r="S19" i="18" s="1"/>
  <c r="AC23" i="18"/>
  <c r="O23" i="18" s="1"/>
  <c r="AK23" i="18"/>
  <c r="W23" i="18" s="1"/>
  <c r="AG25" i="18"/>
  <c r="S25" i="18" s="1"/>
  <c r="AG21" i="18"/>
  <c r="S21" i="18" s="1"/>
  <c r="AK24" i="18"/>
  <c r="W24" i="18" s="1"/>
  <c r="AG26" i="18"/>
  <c r="S26" i="18" s="1"/>
  <c r="AG27" i="18"/>
  <c r="S27" i="18" s="1"/>
  <c r="AK25" i="18"/>
  <c r="W25" i="18" s="1"/>
  <c r="AC20" i="18"/>
  <c r="O20" i="18" s="1"/>
  <c r="AK20" i="18"/>
  <c r="W20" i="18" s="1"/>
  <c r="AG24" i="18"/>
  <c r="S24" i="18" s="1"/>
  <c r="AC25" i="18"/>
  <c r="O25" i="18" s="1"/>
  <c r="AC21" i="18"/>
  <c r="O21" i="18" s="1"/>
  <c r="AK21" i="18"/>
  <c r="W21" i="18" s="1"/>
  <c r="AC26" i="18"/>
  <c r="O26" i="18" s="1"/>
  <c r="AK26" i="18"/>
  <c r="W26" i="18" s="1"/>
  <c r="AC27" i="18"/>
  <c r="O27" i="18" s="1"/>
  <c r="G26" i="16"/>
  <c r="G25" i="16"/>
  <c r="G24" i="16"/>
  <c r="G23" i="16"/>
  <c r="G22" i="16"/>
  <c r="G21" i="16"/>
  <c r="G20" i="16"/>
  <c r="O25" i="16" l="1"/>
  <c r="W25" i="16"/>
  <c r="W18" i="16"/>
  <c r="S24" i="16"/>
  <c r="W21" i="16"/>
  <c r="O23" i="16"/>
  <c r="W23" i="16"/>
  <c r="S27" i="16"/>
  <c r="S17" i="16"/>
  <c r="O26" i="16"/>
  <c r="W26" i="16"/>
  <c r="S20" i="16"/>
  <c r="S25" i="16"/>
  <c r="O19" i="16"/>
  <c r="W19" i="16"/>
  <c r="S23" i="16"/>
  <c r="W27" i="16"/>
  <c r="O17" i="16"/>
  <c r="O24" i="16"/>
  <c r="W24" i="16"/>
  <c r="S18" i="16"/>
  <c r="O27" i="16"/>
  <c r="W17" i="16"/>
  <c r="S26" i="16"/>
  <c r="O20" i="16"/>
  <c r="W20" i="16"/>
  <c r="S19" i="16"/>
  <c r="O18" i="16"/>
  <c r="O21" i="16"/>
  <c r="S21" i="16"/>
  <c r="C25" i="16"/>
  <c r="C26" i="16" s="1"/>
  <c r="D25" i="16"/>
  <c r="D26" i="16" s="1"/>
  <c r="G26" i="11" l="1"/>
  <c r="C25" i="11" l="1"/>
  <c r="C26" i="11" s="1"/>
  <c r="D39" i="11"/>
  <c r="D25" i="11"/>
  <c r="D26" i="11" s="1"/>
  <c r="G25" i="11"/>
  <c r="G24" i="11"/>
  <c r="G23" i="11"/>
  <c r="G22" i="11"/>
  <c r="G21" i="11"/>
  <c r="G20" i="11"/>
  <c r="AC21" i="11" l="1"/>
  <c r="O21" i="11" s="1"/>
  <c r="AK21" i="11"/>
  <c r="W21" i="11" s="1"/>
  <c r="AG26" i="11"/>
  <c r="S26" i="11" s="1"/>
  <c r="AG20" i="11"/>
  <c r="S20" i="11" s="1"/>
  <c r="AC25" i="11"/>
  <c r="O25" i="11" s="1"/>
  <c r="AK25" i="11"/>
  <c r="W25" i="11" s="1"/>
  <c r="AC19" i="11"/>
  <c r="O19" i="11" s="1"/>
  <c r="AK19" i="11"/>
  <c r="W19" i="11" s="1"/>
  <c r="AC26" i="11"/>
  <c r="O26" i="11" s="1"/>
  <c r="AK20" i="11"/>
  <c r="W20" i="11" s="1"/>
  <c r="AG24" i="11"/>
  <c r="S24" i="11" s="1"/>
  <c r="AG18" i="11"/>
  <c r="S18" i="11" s="1"/>
  <c r="AC20" i="11"/>
  <c r="O20" i="11" s="1"/>
  <c r="AC27" i="11"/>
  <c r="O27" i="11" s="1"/>
  <c r="AK27" i="11"/>
  <c r="W27" i="11" s="1"/>
  <c r="AC23" i="11"/>
  <c r="O23" i="11" s="1"/>
  <c r="AK23" i="11"/>
  <c r="W23" i="11" s="1"/>
  <c r="AC17" i="11"/>
  <c r="O17" i="11" s="1"/>
  <c r="AK17" i="11"/>
  <c r="W17" i="11" s="1"/>
  <c r="AG21" i="11"/>
  <c r="S21" i="11" s="1"/>
  <c r="AK26" i="11"/>
  <c r="W26" i="11" s="1"/>
  <c r="AG25" i="11"/>
  <c r="S25" i="11" s="1"/>
  <c r="AG19" i="11"/>
  <c r="S19" i="11" s="1"/>
  <c r="AC24" i="11"/>
  <c r="O24" i="11" s="1"/>
  <c r="AK24" i="11"/>
  <c r="W24" i="11" s="1"/>
  <c r="AC18" i="11"/>
  <c r="O18" i="11" s="1"/>
  <c r="AK18" i="11"/>
  <c r="W18" i="11" s="1"/>
  <c r="AG27" i="11"/>
  <c r="S27" i="11" s="1"/>
  <c r="AG23" i="11"/>
  <c r="S23" i="11" s="1"/>
  <c r="AG17" i="11"/>
  <c r="S17" i="11" s="1"/>
  <c r="D43" i="11"/>
  <c r="D45" i="11" s="1"/>
  <c r="D44" i="11"/>
  <c r="D46" i="11" s="1"/>
</calcChain>
</file>

<file path=xl/sharedStrings.xml><?xml version="1.0" encoding="utf-8"?>
<sst xmlns="http://schemas.openxmlformats.org/spreadsheetml/2006/main" count="216" uniqueCount="59">
  <si>
    <t>Valeurs variables</t>
  </si>
  <si>
    <t>Pas des chevrons</t>
  </si>
  <si>
    <t>déscription</t>
  </si>
  <si>
    <t>unité</t>
  </si>
  <si>
    <t>Valeurs fixes</t>
  </si>
  <si>
    <t>E alu</t>
  </si>
  <si>
    <t>Pente</t>
  </si>
  <si>
    <t>Valeur</t>
  </si>
  <si>
    <t>cm4</t>
  </si>
  <si>
    <t>5/384</t>
  </si>
  <si>
    <t>Constante '2 appuis simples'</t>
  </si>
  <si>
    <t>Poids sur chevron</t>
  </si>
  <si>
    <t>Kg/mm²</t>
  </si>
  <si>
    <t>Calcul</t>
  </si>
  <si>
    <t>Poids remplissage</t>
  </si>
  <si>
    <t>Charge de neige</t>
  </si>
  <si>
    <t>I chevron</t>
  </si>
  <si>
    <t>Kg/m</t>
  </si>
  <si>
    <t>Valeur à insérer</t>
  </si>
  <si>
    <t>Chevron_120:  999211</t>
  </si>
  <si>
    <r>
      <t xml:space="preserve">Poids barre chevron </t>
    </r>
    <r>
      <rPr>
        <i/>
        <sz val="10"/>
        <rFont val="MS Sans Serif"/>
        <family val="2"/>
      </rPr>
      <t>(chevron+capot+profil_U)</t>
    </r>
  </si>
  <si>
    <t xml:space="preserve">Constante: 'flèche max' = L/C </t>
  </si>
  <si>
    <t>kg/m²</t>
  </si>
  <si>
    <t xml:space="preserve">nu = </t>
  </si>
  <si>
    <t>Charge neige = nu * Ce * Ct * Sk + s1</t>
  </si>
  <si>
    <t>Ce = Ct = 1 &amp; s1 = 0 si pente&gt;5%</t>
  </si>
  <si>
    <t>Charge neige</t>
  </si>
  <si>
    <t>Pas chevron</t>
  </si>
  <si>
    <t>m</t>
  </si>
  <si>
    <t>avec renfort</t>
  </si>
  <si>
    <t>sans renfort</t>
  </si>
  <si>
    <t>Poids renfort chevron</t>
  </si>
  <si>
    <t>I chevron+renfort</t>
  </si>
  <si>
    <t>°</t>
  </si>
  <si>
    <t>Chevron_120:  999215</t>
  </si>
  <si>
    <t>Pente toiture</t>
  </si>
  <si>
    <r>
      <t xml:space="preserve">PROFONDEUR (LATITUDE chevron_125 </t>
    </r>
    <r>
      <rPr>
        <u/>
        <sz val="10"/>
        <color rgb="FF0000CC"/>
        <rFont val="MS Sans Serif"/>
        <family val="2"/>
      </rPr>
      <t>sans</t>
    </r>
    <r>
      <rPr>
        <sz val="10"/>
        <color rgb="FF0000CC"/>
        <rFont val="MS Sans Serif"/>
        <family val="2"/>
      </rPr>
      <t xml:space="preserve"> renfort / Flèche maxi=L/200 / Vitrage)</t>
    </r>
  </si>
  <si>
    <r>
      <t xml:space="preserve">PROFONDEUR (LATITUDE chevron_125 </t>
    </r>
    <r>
      <rPr>
        <u/>
        <sz val="10"/>
        <color rgb="FF0000CC"/>
        <rFont val="MS Sans Serif"/>
        <family val="2"/>
      </rPr>
      <t>avec</t>
    </r>
    <r>
      <rPr>
        <sz val="10"/>
        <color rgb="FF0000CC"/>
        <rFont val="MS Sans Serif"/>
        <family val="2"/>
      </rPr>
      <t xml:space="preserve"> renfort / Flèche maxi=L/200 / Vitrage)</t>
    </r>
  </si>
  <si>
    <r>
      <t xml:space="preserve">PROFONDEUR (LATITUDE chevron_125 </t>
    </r>
    <r>
      <rPr>
        <u/>
        <sz val="10"/>
        <color rgb="FFFF0000"/>
        <rFont val="MS Sans Serif"/>
        <family val="2"/>
      </rPr>
      <t>sans</t>
    </r>
    <r>
      <rPr>
        <sz val="10"/>
        <color rgb="FFFF0000"/>
        <rFont val="MS Sans Serif"/>
        <family val="2"/>
      </rPr>
      <t xml:space="preserve"> renfort / Flèche maxi=L/200 / Plaque)</t>
    </r>
  </si>
  <si>
    <t>Poids chevron + renfort</t>
  </si>
  <si>
    <t>Poids neige (entreaxe*N*coeff)</t>
  </si>
  <si>
    <t>Poids remplissage ((Entreaxe-valeur)*R/COS(pente))</t>
  </si>
  <si>
    <t>Poids chevron [(Poids/COS(pente)]</t>
  </si>
  <si>
    <t>Poids total (chevron)</t>
  </si>
  <si>
    <t>Poids total (chevron + renfort)</t>
  </si>
  <si>
    <t>Portée chevron R = ((I*E)/(200*(5/384)*Poids)^(1/3)</t>
  </si>
  <si>
    <t>Portée chevron     = ((I*E)/(200*(5/384)*Poids)^(1/3)</t>
  </si>
  <si>
    <r>
      <t xml:space="preserve">PROFONDEUR (LATITUDE chevron_125 </t>
    </r>
    <r>
      <rPr>
        <u/>
        <sz val="10"/>
        <color rgb="FFFF0000"/>
        <rFont val="MS Sans Serif"/>
        <family val="2"/>
      </rPr>
      <t>avec</t>
    </r>
    <r>
      <rPr>
        <sz val="10"/>
        <color rgb="FFFF0000"/>
        <rFont val="MS Sans Serif"/>
        <family val="2"/>
      </rPr>
      <t xml:space="preserve"> renfort / Flèche maxi=L/200 / Plaque)</t>
    </r>
  </si>
  <si>
    <r>
      <t xml:space="preserve">PROFONDEUR (LATITUDE chevron_143 </t>
    </r>
    <r>
      <rPr>
        <u/>
        <sz val="10"/>
        <color rgb="FFFF0000"/>
        <rFont val="MS Sans Serif"/>
        <family val="2"/>
      </rPr>
      <t>sans</t>
    </r>
    <r>
      <rPr>
        <sz val="10"/>
        <color rgb="FFFF0000"/>
        <rFont val="MS Sans Serif"/>
        <family val="2"/>
      </rPr>
      <t xml:space="preserve"> renfort / Flèche maxi=L/200 / Plaque)</t>
    </r>
  </si>
  <si>
    <r>
      <t xml:space="preserve">PROFONDEUR (LATITUDE chevron_143 </t>
    </r>
    <r>
      <rPr>
        <u/>
        <sz val="10"/>
        <color rgb="FFFF0000"/>
        <rFont val="MS Sans Serif"/>
        <family val="2"/>
      </rPr>
      <t>avec</t>
    </r>
    <r>
      <rPr>
        <sz val="10"/>
        <color rgb="FFFF0000"/>
        <rFont val="MS Sans Serif"/>
        <family val="2"/>
      </rPr>
      <t xml:space="preserve"> renfort / Flèche maxi=L/200 / Plaque)</t>
    </r>
  </si>
  <si>
    <r>
      <t xml:space="preserve">PROFONDEUR (LATITUDE chevron_143 </t>
    </r>
    <r>
      <rPr>
        <u/>
        <sz val="10"/>
        <color rgb="FF0000CC"/>
        <rFont val="MS Sans Serif"/>
        <family val="2"/>
      </rPr>
      <t>sans</t>
    </r>
    <r>
      <rPr>
        <sz val="10"/>
        <color rgb="FF0000CC"/>
        <rFont val="MS Sans Serif"/>
        <family val="2"/>
      </rPr>
      <t xml:space="preserve"> renfort / Flèche maxi=L/200 / Vitrage)</t>
    </r>
  </si>
  <si>
    <r>
      <t xml:space="preserve">PROFONDEUR (LATITUDE chevron_143 </t>
    </r>
    <r>
      <rPr>
        <u/>
        <sz val="10"/>
        <color rgb="FF0000CC"/>
        <rFont val="MS Sans Serif"/>
        <family val="2"/>
      </rPr>
      <t>avec</t>
    </r>
    <r>
      <rPr>
        <sz val="10"/>
        <color rgb="FF0000CC"/>
        <rFont val="MS Sans Serif"/>
        <family val="2"/>
      </rPr>
      <t xml:space="preserve"> renfort / Flèche maxi=L/200 / Vitrage)</t>
    </r>
  </si>
  <si>
    <r>
      <t xml:space="preserve">Version 10_2020   </t>
    </r>
    <r>
      <rPr>
        <sz val="10"/>
        <color rgb="FFFF0000"/>
        <rFont val="Arial"/>
        <family val="2"/>
      </rPr>
      <t>Ces valeurs sont données a titre indicatif et n'engagent pas Flandria !</t>
    </r>
  </si>
  <si>
    <r>
      <t xml:space="preserve">L A T I T U D E   PORTEE CHEVRON_120 </t>
    </r>
    <r>
      <rPr>
        <b/>
        <i/>
        <sz val="12"/>
        <color rgb="FF0000CC"/>
        <rFont val="MS Sans Serif"/>
      </rPr>
      <t>vitrage</t>
    </r>
  </si>
  <si>
    <r>
      <t xml:space="preserve">L A T I T U D E   PORTEE CHEVRON_143 </t>
    </r>
    <r>
      <rPr>
        <b/>
        <i/>
        <sz val="12"/>
        <color rgb="FF0000CC"/>
        <rFont val="MS Sans Serif"/>
      </rPr>
      <t>vitrage</t>
    </r>
  </si>
  <si>
    <r>
      <t>L A T I T U D E   PORTEE CHEVRON_120</t>
    </r>
    <r>
      <rPr>
        <b/>
        <i/>
        <sz val="12"/>
        <color rgb="FF0000CC"/>
        <rFont val="MS Sans Serif"/>
      </rPr>
      <t xml:space="preserve"> plaque</t>
    </r>
  </si>
  <si>
    <r>
      <t xml:space="preserve">L A T I T U D E   PORTEE CHEVRON_143 </t>
    </r>
    <r>
      <rPr>
        <b/>
        <i/>
        <sz val="12"/>
        <color rgb="FF0000CC"/>
        <rFont val="MS Sans Serif"/>
      </rPr>
      <t>plaque</t>
    </r>
  </si>
  <si>
    <t>Profondeur (m) maxi</t>
  </si>
  <si>
    <t>Ces valeurs sont données a titre indicatif et n'engagent pas Flandria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</si>
</sst>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&quot;  mm&quot;"/>
    <numFmt numFmtId="165" formatCode="0.0&quot;  Kg/m&quot;"/>
    <numFmt numFmtId="166" formatCode="0.000"/>
    <numFmt numFmtId="167" formatCode="0.0"/>
  </numFmts>
  <fonts count="29" x14ac:knownFonts="1">
    <font>
      <sz val="10"/>
      <name val="MS Sans Serif"/>
    </font>
    <font>
      <sz val="10"/>
      <name val="MS Sans Serif"/>
      <family val="2"/>
    </font>
    <font>
      <b/>
      <sz val="12"/>
      <name val="MS Sans Serif"/>
      <family val="2"/>
    </font>
    <font>
      <b/>
      <sz val="10"/>
      <name val="MS Sans Serif"/>
      <family val="2"/>
    </font>
    <font>
      <b/>
      <sz val="12"/>
      <color indexed="9"/>
      <name val="MS Sans Serif"/>
      <family val="2"/>
    </font>
    <font>
      <b/>
      <u/>
      <sz val="10"/>
      <name val="MS Sans Serif"/>
      <family val="2"/>
    </font>
    <font>
      <sz val="8.5"/>
      <name val="MS Sans Serif"/>
      <family val="2"/>
    </font>
    <font>
      <b/>
      <i/>
      <sz val="12"/>
      <color indexed="9"/>
      <name val="MS Sans Serif"/>
      <family val="2"/>
    </font>
    <font>
      <b/>
      <i/>
      <sz val="10"/>
      <color indexed="9"/>
      <name val="MS Sans Serif"/>
      <family val="2"/>
    </font>
    <font>
      <b/>
      <sz val="12"/>
      <color indexed="10"/>
      <name val="MS Sans Serif"/>
      <family val="2"/>
    </font>
    <font>
      <sz val="10"/>
      <name val="MS Sans Serif"/>
      <family val="2"/>
    </font>
    <font>
      <i/>
      <sz val="10"/>
      <name val="MS Sans Serif"/>
      <family val="2"/>
    </font>
    <font>
      <sz val="10"/>
      <color indexed="10"/>
      <name val="MS Sans Serif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0000CC"/>
      <name val="MS Sans Serif"/>
      <family val="2"/>
    </font>
    <font>
      <u/>
      <sz val="10"/>
      <color rgb="FF0000CC"/>
      <name val="MS Sans Serif"/>
      <family val="2"/>
    </font>
    <font>
      <b/>
      <sz val="1"/>
      <name val="MS Sans Serif"/>
      <family val="2"/>
    </font>
    <font>
      <sz val="11"/>
      <name val="MS Sans Serif"/>
      <family val="2"/>
    </font>
    <font>
      <sz val="11"/>
      <color indexed="12"/>
      <name val="MS Sans Serif"/>
      <family val="2"/>
    </font>
    <font>
      <sz val="10"/>
      <color rgb="FFFF0000"/>
      <name val="MS Sans Serif"/>
      <family val="2"/>
    </font>
    <font>
      <u/>
      <sz val="10"/>
      <color rgb="FFFF0000"/>
      <name val="MS Sans Serif"/>
      <family val="2"/>
    </font>
    <font>
      <b/>
      <sz val="10"/>
      <name val="MS Sans Serif"/>
    </font>
    <font>
      <sz val="10"/>
      <color rgb="FFFF0000"/>
      <name val="MS Sans Serif"/>
    </font>
    <font>
      <b/>
      <sz val="10"/>
      <color rgb="FFFF0000"/>
      <name val="MS Sans Serif"/>
    </font>
    <font>
      <sz val="10"/>
      <color rgb="FF0000CC"/>
      <name val="MS Sans Serif"/>
    </font>
    <font>
      <b/>
      <i/>
      <sz val="12"/>
      <color rgb="FF0000CC"/>
      <name val="MS Sans Serif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4" fillId="2" borderId="0" xfId="0" applyFont="1" applyFill="1"/>
    <xf numFmtId="0" fontId="0" fillId="0" borderId="1" xfId="0" applyBorder="1" applyAlignment="1">
      <alignment horizontal="right"/>
    </xf>
    <xf numFmtId="0" fontId="0" fillId="0" borderId="1" xfId="0" applyBorder="1"/>
    <xf numFmtId="0" fontId="6" fillId="0" borderId="1" xfId="0" applyFont="1" applyBorder="1" applyAlignment="1">
      <alignment horizontal="right"/>
    </xf>
    <xf numFmtId="0" fontId="0" fillId="0" borderId="2" xfId="0" applyBorder="1"/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5" fillId="0" borderId="0" xfId="0" applyFont="1" applyFill="1"/>
    <xf numFmtId="0" fontId="5" fillId="0" borderId="1" xfId="0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right"/>
    </xf>
    <xf numFmtId="0" fontId="0" fillId="0" borderId="4" xfId="0" applyBorder="1"/>
    <xf numFmtId="0" fontId="0" fillId="0" borderId="0" xfId="0" applyBorder="1"/>
    <xf numFmtId="0" fontId="3" fillId="0" borderId="0" xfId="0" applyFont="1" applyBorder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0" fillId="0" borderId="5" xfId="0" applyBorder="1"/>
    <xf numFmtId="0" fontId="0" fillId="0" borderId="0" xfId="0" applyAlignment="1">
      <alignment horizontal="center" vertical="center"/>
    </xf>
    <xf numFmtId="0" fontId="1" fillId="0" borderId="2" xfId="0" applyFont="1" applyBorder="1"/>
    <xf numFmtId="165" fontId="10" fillId="0" borderId="1" xfId="0" applyNumberFormat="1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0" fillId="0" borderId="7" xfId="0" applyBorder="1" applyAlignment="1">
      <alignment horizontal="right"/>
    </xf>
    <xf numFmtId="2" fontId="0" fillId="0" borderId="7" xfId="0" applyNumberFormat="1" applyBorder="1" applyAlignment="1"/>
    <xf numFmtId="0" fontId="0" fillId="0" borderId="8" xfId="0" applyBorder="1" applyAlignment="1">
      <alignment horizontal="right"/>
    </xf>
    <xf numFmtId="2" fontId="0" fillId="0" borderId="8" xfId="0" applyNumberFormat="1" applyBorder="1" applyAlignment="1"/>
    <xf numFmtId="0" fontId="0" fillId="0" borderId="8" xfId="0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2" fontId="3" fillId="0" borderId="1" xfId="0" applyNumberFormat="1" applyFont="1" applyBorder="1"/>
    <xf numFmtId="0" fontId="0" fillId="0" borderId="10" xfId="0" applyBorder="1" applyAlignment="1">
      <alignment horizontal="right"/>
    </xf>
    <xf numFmtId="0" fontId="16" fillId="0" borderId="0" xfId="0" applyFont="1" applyAlignment="1">
      <alignment horizontal="left" vertical="top"/>
    </xf>
    <xf numFmtId="2" fontId="0" fillId="0" borderId="8" xfId="0" applyNumberFormat="1" applyFill="1" applyBorder="1" applyAlignment="1"/>
    <xf numFmtId="2" fontId="0" fillId="0" borderId="9" xfId="0" applyNumberFormat="1" applyFill="1" applyBorder="1" applyAlignment="1"/>
    <xf numFmtId="0" fontId="17" fillId="0" borderId="0" xfId="0" applyFont="1"/>
    <xf numFmtId="0" fontId="3" fillId="0" borderId="12" xfId="0" applyFont="1" applyBorder="1" applyAlignment="1">
      <alignment horizontal="center"/>
    </xf>
    <xf numFmtId="0" fontId="1" fillId="0" borderId="1" xfId="0" applyFont="1" applyBorder="1"/>
    <xf numFmtId="0" fontId="21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/>
    <xf numFmtId="0" fontId="9" fillId="0" borderId="13" xfId="0" applyFont="1" applyFill="1" applyBorder="1"/>
    <xf numFmtId="164" fontId="9" fillId="0" borderId="13" xfId="0" applyNumberFormat="1" applyFont="1" applyFill="1" applyBorder="1" applyAlignment="1">
      <alignment horizontal="center"/>
    </xf>
    <xf numFmtId="0" fontId="0" fillId="0" borderId="13" xfId="0" applyFill="1" applyBorder="1"/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right"/>
    </xf>
    <xf numFmtId="1" fontId="3" fillId="0" borderId="3" xfId="0" applyNumberFormat="1" applyFont="1" applyFill="1" applyBorder="1" applyAlignment="1" applyProtection="1">
      <alignment horizontal="right" vertical="center"/>
      <protection locked="0"/>
    </xf>
    <xf numFmtId="166" fontId="10" fillId="3" borderId="1" xfId="0" applyNumberFormat="1" applyFont="1" applyFill="1" applyBorder="1" applyProtection="1"/>
    <xf numFmtId="167" fontId="10" fillId="3" borderId="1" xfId="0" applyNumberFormat="1" applyFont="1" applyFill="1" applyBorder="1" applyProtection="1"/>
    <xf numFmtId="0" fontId="10" fillId="3" borderId="1" xfId="0" applyFont="1" applyFill="1" applyBorder="1" applyAlignment="1">
      <alignment horizontal="right"/>
    </xf>
    <xf numFmtId="0" fontId="22" fillId="0" borderId="0" xfId="0" applyFont="1"/>
    <xf numFmtId="0" fontId="15" fillId="0" borderId="0" xfId="0" applyFont="1" applyAlignment="1">
      <alignment horizontal="left"/>
    </xf>
    <xf numFmtId="0" fontId="11" fillId="4" borderId="1" xfId="0" applyFont="1" applyFill="1" applyBorder="1" applyAlignment="1" applyProtection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/>
    </xf>
    <xf numFmtId="167" fontId="10" fillId="3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right"/>
    </xf>
    <xf numFmtId="1" fontId="3" fillId="0" borderId="13" xfId="0" applyNumberFormat="1" applyFont="1" applyFill="1" applyBorder="1" applyProtection="1">
      <protection locked="0"/>
    </xf>
    <xf numFmtId="0" fontId="0" fillId="0" borderId="10" xfId="0" applyFill="1" applyBorder="1"/>
    <xf numFmtId="0" fontId="6" fillId="0" borderId="10" xfId="0" applyFont="1" applyFill="1" applyBorder="1" applyAlignment="1">
      <alignment horizontal="right"/>
    </xf>
    <xf numFmtId="1" fontId="3" fillId="0" borderId="10" xfId="0" applyNumberFormat="1" applyFont="1" applyFill="1" applyBorder="1" applyProtection="1">
      <protection locked="0"/>
    </xf>
    <xf numFmtId="166" fontId="3" fillId="4" borderId="1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left"/>
    </xf>
    <xf numFmtId="167" fontId="0" fillId="0" borderId="0" xfId="0" applyNumberFormat="1"/>
    <xf numFmtId="0" fontId="0" fillId="0" borderId="10" xfId="0" applyBorder="1"/>
    <xf numFmtId="167" fontId="0" fillId="0" borderId="10" xfId="0" applyNumberFormat="1" applyBorder="1"/>
    <xf numFmtId="167" fontId="24" fillId="0" borderId="0" xfId="0" applyNumberFormat="1" applyFont="1"/>
    <xf numFmtId="167" fontId="24" fillId="0" borderId="10" xfId="0" applyNumberFormat="1" applyFont="1" applyBorder="1"/>
    <xf numFmtId="1" fontId="26" fillId="0" borderId="0" xfId="0" applyNumberFormat="1" applyFont="1"/>
    <xf numFmtId="2" fontId="22" fillId="0" borderId="18" xfId="0" applyNumberFormat="1" applyFont="1" applyBorder="1"/>
    <xf numFmtId="0" fontId="27" fillId="0" borderId="0" xfId="0" applyFont="1"/>
    <xf numFmtId="0" fontId="13" fillId="0" borderId="0" xfId="0" applyFont="1" applyBorder="1" applyAlignment="1"/>
    <xf numFmtId="0" fontId="0" fillId="0" borderId="0" xfId="0" applyBorder="1" applyAlignment="1"/>
    <xf numFmtId="166" fontId="19" fillId="0" borderId="0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22" fillId="0" borderId="0" xfId="0" applyNumberFormat="1" applyFont="1" applyBorder="1"/>
    <xf numFmtId="0" fontId="22" fillId="0" borderId="0" xfId="0" applyFont="1" applyBorder="1"/>
    <xf numFmtId="2" fontId="22" fillId="0" borderId="0" xfId="0" applyNumberFormat="1" applyFont="1" applyBorder="1" applyAlignment="1">
      <alignment horizontal="right"/>
    </xf>
    <xf numFmtId="0" fontId="3" fillId="0" borderId="15" xfId="0" applyFont="1" applyBorder="1"/>
    <xf numFmtId="166" fontId="19" fillId="0" borderId="19" xfId="0" applyNumberFormat="1" applyFont="1" applyBorder="1" applyAlignment="1">
      <alignment horizontal="center"/>
    </xf>
    <xf numFmtId="166" fontId="19" fillId="0" borderId="20" xfId="0" applyNumberFormat="1" applyFont="1" applyBorder="1" applyAlignment="1">
      <alignment horizontal="center"/>
    </xf>
    <xf numFmtId="166" fontId="3" fillId="0" borderId="20" xfId="0" applyNumberFormat="1" applyFont="1" applyBorder="1" applyAlignment="1">
      <alignment horizontal="center"/>
    </xf>
    <xf numFmtId="166" fontId="19" fillId="0" borderId="21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67" fontId="3" fillId="0" borderId="20" xfId="0" applyNumberFormat="1" applyFont="1" applyBorder="1" applyAlignment="1">
      <alignment horizontal="center"/>
    </xf>
    <xf numFmtId="0" fontId="3" fillId="0" borderId="14" xfId="0" applyFont="1" applyBorder="1"/>
    <xf numFmtId="167" fontId="17" fillId="0" borderId="24" xfId="0" applyNumberFormat="1" applyFont="1" applyBorder="1"/>
    <xf numFmtId="2" fontId="17" fillId="0" borderId="24" xfId="0" applyNumberFormat="1" applyFont="1" applyBorder="1"/>
    <xf numFmtId="2" fontId="17" fillId="0" borderId="25" xfId="0" applyNumberFormat="1" applyFont="1" applyBorder="1"/>
    <xf numFmtId="2" fontId="9" fillId="3" borderId="1" xfId="0" applyNumberFormat="1" applyFont="1" applyFill="1" applyBorder="1" applyAlignment="1">
      <alignment horizontal="center"/>
    </xf>
    <xf numFmtId="0" fontId="3" fillId="0" borderId="16" xfId="0" applyFont="1" applyFill="1" applyBorder="1"/>
    <xf numFmtId="2" fontId="17" fillId="0" borderId="29" xfId="0" applyNumberFormat="1" applyFont="1" applyBorder="1"/>
    <xf numFmtId="0" fontId="3" fillId="0" borderId="30" xfId="0" applyFont="1" applyFill="1" applyBorder="1" applyAlignment="1"/>
    <xf numFmtId="2" fontId="17" fillId="0" borderId="31" xfId="0" applyNumberFormat="1" applyFont="1" applyBorder="1"/>
    <xf numFmtId="167" fontId="17" fillId="0" borderId="32" xfId="0" applyNumberFormat="1" applyFont="1" applyBorder="1"/>
    <xf numFmtId="167" fontId="17" fillId="0" borderId="29" xfId="0" applyNumberFormat="1" applyFont="1" applyBorder="1"/>
    <xf numFmtId="167" fontId="17" fillId="0" borderId="33" xfId="0" applyNumberFormat="1" applyFont="1" applyBorder="1"/>
    <xf numFmtId="167" fontId="17" fillId="0" borderId="34" xfId="0" applyNumberFormat="1" applyFont="1" applyBorder="1"/>
    <xf numFmtId="167" fontId="17" fillId="0" borderId="35" xfId="0" applyNumberFormat="1" applyFont="1" applyBorder="1"/>
    <xf numFmtId="167" fontId="17" fillId="0" borderId="8" xfId="0" applyNumberFormat="1" applyFont="1" applyBorder="1"/>
    <xf numFmtId="167" fontId="17" fillId="0" borderId="36" xfId="0" applyNumberFormat="1" applyFont="1" applyBorder="1"/>
    <xf numFmtId="167" fontId="17" fillId="0" borderId="37" xfId="0" applyNumberFormat="1" applyFont="1" applyBorder="1"/>
    <xf numFmtId="167" fontId="17" fillId="0" borderId="38" xfId="0" applyNumberFormat="1" applyFont="1" applyFill="1" applyBorder="1"/>
    <xf numFmtId="167" fontId="17" fillId="0" borderId="39" xfId="0" applyNumberFormat="1" applyFont="1" applyFill="1" applyBorder="1"/>
    <xf numFmtId="167" fontId="17" fillId="0" borderId="31" xfId="0" applyNumberFormat="1" applyFont="1" applyFill="1" applyBorder="1"/>
    <xf numFmtId="1" fontId="3" fillId="0" borderId="30" xfId="0" applyNumberFormat="1" applyFont="1" applyBorder="1" applyAlignment="1">
      <alignment horizontal="right"/>
    </xf>
    <xf numFmtId="167" fontId="17" fillId="0" borderId="38" xfId="0" applyNumberFormat="1" applyFont="1" applyBorder="1"/>
    <xf numFmtId="167" fontId="17" fillId="0" borderId="39" xfId="0" applyNumberFormat="1" applyFont="1" applyBorder="1"/>
    <xf numFmtId="167" fontId="17" fillId="0" borderId="31" xfId="0" applyNumberFormat="1" applyFont="1" applyBorder="1"/>
    <xf numFmtId="0" fontId="3" fillId="0" borderId="4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17" fillId="0" borderId="35" xfId="0" applyNumberFormat="1" applyFont="1" applyBorder="1" applyAlignment="1">
      <alignment horizontal="center"/>
    </xf>
    <xf numFmtId="2" fontId="17" fillId="0" borderId="8" xfId="0" applyNumberFormat="1" applyFont="1" applyBorder="1" applyAlignment="1">
      <alignment horizontal="center"/>
    </xf>
    <xf numFmtId="2" fontId="17" fillId="0" borderId="29" xfId="0" applyNumberFormat="1" applyFont="1" applyBorder="1" applyAlignment="1">
      <alignment horizontal="center"/>
    </xf>
    <xf numFmtId="2" fontId="17" fillId="0" borderId="38" xfId="0" applyNumberFormat="1" applyFont="1" applyBorder="1" applyAlignment="1">
      <alignment horizontal="center"/>
    </xf>
    <xf numFmtId="2" fontId="17" fillId="0" borderId="36" xfId="0" applyNumberFormat="1" applyFont="1" applyBorder="1" applyAlignment="1">
      <alignment horizontal="center"/>
    </xf>
    <xf numFmtId="2" fontId="17" fillId="0" borderId="37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17" fillId="0" borderId="39" xfId="0" applyNumberFormat="1" applyFont="1" applyBorder="1" applyAlignment="1">
      <alignment horizontal="center"/>
    </xf>
    <xf numFmtId="2" fontId="17" fillId="0" borderId="31" xfId="0" applyNumberFormat="1" applyFont="1" applyBorder="1" applyAlignment="1">
      <alignment horizontal="center"/>
    </xf>
    <xf numFmtId="0" fontId="3" fillId="0" borderId="41" xfId="0" applyFont="1" applyBorder="1"/>
    <xf numFmtId="0" fontId="3" fillId="0" borderId="42" xfId="0" applyFont="1" applyBorder="1"/>
    <xf numFmtId="0" fontId="3" fillId="0" borderId="30" xfId="0" applyFont="1" applyFill="1" applyBorder="1"/>
    <xf numFmtId="2" fontId="22" fillId="0" borderId="35" xfId="0" applyNumberFormat="1" applyFont="1" applyBorder="1" applyAlignment="1">
      <alignment horizontal="center"/>
    </xf>
    <xf numFmtId="2" fontId="22" fillId="0" borderId="8" xfId="0" applyNumberFormat="1" applyFont="1" applyBorder="1" applyAlignment="1">
      <alignment horizontal="center"/>
    </xf>
    <xf numFmtId="2" fontId="22" fillId="0" borderId="29" xfId="0" applyNumberFormat="1" applyFont="1" applyBorder="1" applyAlignment="1">
      <alignment horizontal="center"/>
    </xf>
    <xf numFmtId="2" fontId="22" fillId="0" borderId="38" xfId="0" applyNumberFormat="1" applyFont="1" applyBorder="1" applyAlignment="1">
      <alignment horizontal="center"/>
    </xf>
    <xf numFmtId="0" fontId="25" fillId="0" borderId="0" xfId="0" applyFont="1"/>
    <xf numFmtId="2" fontId="22" fillId="0" borderId="36" xfId="0" applyNumberFormat="1" applyFont="1" applyBorder="1" applyAlignment="1">
      <alignment horizontal="center"/>
    </xf>
    <xf numFmtId="2" fontId="22" fillId="0" borderId="37" xfId="0" applyNumberFormat="1" applyFont="1" applyBorder="1" applyAlignment="1">
      <alignment horizontal="center"/>
    </xf>
    <xf numFmtId="2" fontId="22" fillId="0" borderId="24" xfId="0" applyNumberFormat="1" applyFont="1" applyBorder="1" applyAlignment="1">
      <alignment horizontal="center"/>
    </xf>
    <xf numFmtId="2" fontId="22" fillId="0" borderId="39" xfId="0" applyNumberFormat="1" applyFont="1" applyBorder="1" applyAlignment="1">
      <alignment horizontal="center"/>
    </xf>
    <xf numFmtId="2" fontId="22" fillId="0" borderId="31" xfId="0" applyNumberFormat="1" applyFont="1" applyBorder="1" applyAlignment="1">
      <alignment horizontal="center"/>
    </xf>
    <xf numFmtId="167" fontId="22" fillId="0" borderId="33" xfId="0" applyNumberFormat="1" applyFont="1" applyBorder="1"/>
    <xf numFmtId="167" fontId="22" fillId="0" borderId="34" xfId="0" applyNumberFormat="1" applyFont="1" applyBorder="1"/>
    <xf numFmtId="167" fontId="22" fillId="0" borderId="32" xfId="0" applyNumberFormat="1" applyFont="1" applyBorder="1"/>
    <xf numFmtId="167" fontId="22" fillId="0" borderId="35" xfId="0" applyNumberFormat="1" applyFont="1" applyBorder="1"/>
    <xf numFmtId="167" fontId="22" fillId="0" borderId="8" xfId="0" applyNumberFormat="1" applyFont="1" applyBorder="1"/>
    <xf numFmtId="167" fontId="22" fillId="0" borderId="29" xfId="0" applyNumberFormat="1" applyFont="1" applyBorder="1"/>
    <xf numFmtId="167" fontId="22" fillId="0" borderId="38" xfId="0" applyNumberFormat="1" applyFont="1" applyFill="1" applyBorder="1"/>
    <xf numFmtId="167" fontId="22" fillId="0" borderId="39" xfId="0" applyNumberFormat="1" applyFont="1" applyFill="1" applyBorder="1"/>
    <xf numFmtId="167" fontId="22" fillId="0" borderId="31" xfId="0" applyNumberFormat="1" applyFont="1" applyFill="1" applyBorder="1"/>
    <xf numFmtId="167" fontId="22" fillId="0" borderId="36" xfId="0" applyNumberFormat="1" applyFont="1" applyBorder="1"/>
    <xf numFmtId="167" fontId="22" fillId="0" borderId="37" xfId="0" applyNumberFormat="1" applyFont="1" applyBorder="1"/>
    <xf numFmtId="167" fontId="22" fillId="0" borderId="24" xfId="0" applyNumberFormat="1" applyFont="1" applyBorder="1"/>
    <xf numFmtId="167" fontId="22" fillId="0" borderId="38" xfId="0" applyNumberFormat="1" applyFont="1" applyBorder="1"/>
    <xf numFmtId="167" fontId="22" fillId="0" borderId="39" xfId="0" applyNumberFormat="1" applyFont="1" applyBorder="1"/>
    <xf numFmtId="167" fontId="22" fillId="0" borderId="31" xfId="0" applyNumberFormat="1" applyFont="1" applyBorder="1"/>
    <xf numFmtId="2" fontId="22" fillId="0" borderId="25" xfId="0" applyNumberFormat="1" applyFont="1" applyBorder="1"/>
    <xf numFmtId="2" fontId="22" fillId="0" borderId="29" xfId="0" applyNumberFormat="1" applyFont="1" applyBorder="1"/>
    <xf numFmtId="2" fontId="22" fillId="0" borderId="24" xfId="0" applyNumberFormat="1" applyFont="1" applyBorder="1"/>
    <xf numFmtId="2" fontId="22" fillId="0" borderId="31" xfId="0" applyNumberFormat="1" applyFont="1" applyBorder="1"/>
    <xf numFmtId="0" fontId="0" fillId="0" borderId="0" xfId="0" applyBorder="1" applyAlignment="1">
      <alignment horizontal="center" vertical="center" textRotation="90"/>
    </xf>
    <xf numFmtId="0" fontId="13" fillId="0" borderId="0" xfId="0" applyFont="1" applyBorder="1" applyAlignment="1">
      <alignment horizontal="center" vertical="center" textRotation="90"/>
    </xf>
    <xf numFmtId="2" fontId="17" fillId="0" borderId="40" xfId="0" applyNumberFormat="1" applyFont="1" applyBorder="1"/>
    <xf numFmtId="2" fontId="17" fillId="0" borderId="7" xfId="0" applyNumberFormat="1" applyFont="1" applyBorder="1"/>
    <xf numFmtId="2" fontId="17" fillId="0" borderId="35" xfId="0" applyNumberFormat="1" applyFont="1" applyBorder="1"/>
    <xf numFmtId="2" fontId="17" fillId="0" borderId="8" xfId="0" applyNumberFormat="1" applyFont="1" applyBorder="1"/>
    <xf numFmtId="2" fontId="17" fillId="0" borderId="36" xfId="0" applyNumberFormat="1" applyFont="1" applyBorder="1"/>
    <xf numFmtId="2" fontId="17" fillId="0" borderId="37" xfId="0" applyNumberFormat="1" applyFont="1" applyBorder="1"/>
    <xf numFmtId="2" fontId="17" fillId="0" borderId="38" xfId="0" applyNumberFormat="1" applyFont="1" applyBorder="1"/>
    <xf numFmtId="2" fontId="17" fillId="0" borderId="39" xfId="0" applyNumberFormat="1" applyFont="1" applyBorder="1"/>
    <xf numFmtId="0" fontId="3" fillId="0" borderId="43" xfId="0" applyFont="1" applyBorder="1" applyAlignment="1">
      <alignment horizontal="center"/>
    </xf>
    <xf numFmtId="2" fontId="17" fillId="0" borderId="44" xfId="0" applyNumberFormat="1" applyFont="1" applyBorder="1"/>
    <xf numFmtId="2" fontId="17" fillId="0" borderId="45" xfId="0" applyNumberFormat="1" applyFont="1" applyBorder="1"/>
    <xf numFmtId="2" fontId="17" fillId="0" borderId="46" xfId="0" applyNumberFormat="1" applyFont="1" applyBorder="1"/>
    <xf numFmtId="0" fontId="3" fillId="0" borderId="47" xfId="0" applyFont="1" applyBorder="1" applyAlignment="1">
      <alignment horizontal="center"/>
    </xf>
    <xf numFmtId="2" fontId="17" fillId="0" borderId="48" xfId="0" applyNumberFormat="1" applyFont="1" applyBorder="1"/>
    <xf numFmtId="2" fontId="17" fillId="0" borderId="49" xfId="0" applyNumberFormat="1" applyFont="1" applyBorder="1"/>
    <xf numFmtId="2" fontId="17" fillId="0" borderId="50" xfId="0" applyNumberFormat="1" applyFont="1" applyBorder="1"/>
    <xf numFmtId="2" fontId="17" fillId="0" borderId="51" xfId="0" applyNumberFormat="1" applyFont="1" applyBorder="1"/>
    <xf numFmtId="2" fontId="17" fillId="0" borderId="52" xfId="0" applyNumberFormat="1" applyFont="1" applyBorder="1"/>
    <xf numFmtId="2" fontId="22" fillId="0" borderId="40" xfId="0" applyNumberFormat="1" applyFont="1" applyBorder="1"/>
    <xf numFmtId="2" fontId="22" fillId="0" borderId="7" xfId="0" applyNumberFormat="1" applyFont="1" applyBorder="1"/>
    <xf numFmtId="2" fontId="22" fillId="0" borderId="35" xfId="0" applyNumberFormat="1" applyFont="1" applyBorder="1"/>
    <xf numFmtId="2" fontId="22" fillId="0" borderId="8" xfId="0" applyNumberFormat="1" applyFont="1" applyBorder="1"/>
    <xf numFmtId="2" fontId="22" fillId="0" borderId="36" xfId="0" applyNumberFormat="1" applyFont="1" applyBorder="1"/>
    <xf numFmtId="2" fontId="22" fillId="0" borderId="37" xfId="0" applyNumberFormat="1" applyFont="1" applyBorder="1"/>
    <xf numFmtId="2" fontId="22" fillId="0" borderId="38" xfId="0" applyNumberFormat="1" applyFont="1" applyBorder="1"/>
    <xf numFmtId="2" fontId="22" fillId="0" borderId="39" xfId="0" applyNumberFormat="1" applyFont="1" applyBorder="1"/>
    <xf numFmtId="2" fontId="22" fillId="0" borderId="44" xfId="0" applyNumberFormat="1" applyFont="1" applyBorder="1"/>
    <xf numFmtId="2" fontId="22" fillId="0" borderId="45" xfId="0" applyNumberFormat="1" applyFont="1" applyBorder="1"/>
    <xf numFmtId="2" fontId="22" fillId="0" borderId="46" xfId="0" applyNumberFormat="1" applyFont="1" applyBorder="1"/>
    <xf numFmtId="2" fontId="22" fillId="0" borderId="48" xfId="0" applyNumberFormat="1" applyFont="1" applyBorder="1"/>
    <xf numFmtId="2" fontId="22" fillId="0" borderId="49" xfId="0" applyNumberFormat="1" applyFont="1" applyBorder="1"/>
    <xf numFmtId="2" fontId="22" fillId="0" borderId="50" xfId="0" applyNumberFormat="1" applyFont="1" applyBorder="1"/>
    <xf numFmtId="2" fontId="22" fillId="0" borderId="51" xfId="0" applyNumberFormat="1" applyFont="1" applyBorder="1"/>
    <xf numFmtId="2" fontId="22" fillId="0" borderId="52" xfId="0" applyNumberFormat="1" applyFont="1" applyBorder="1"/>
    <xf numFmtId="0" fontId="3" fillId="0" borderId="2" xfId="0" applyFont="1" applyBorder="1"/>
    <xf numFmtId="0" fontId="24" fillId="0" borderId="2" xfId="0" applyFont="1" applyBorder="1"/>
    <xf numFmtId="0" fontId="13" fillId="0" borderId="13" xfId="0" applyFont="1" applyBorder="1" applyAlignment="1">
      <alignment horizontal="center" vertical="center" textRotation="90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0" borderId="5" xfId="0" applyFont="1" applyBorder="1" applyAlignment="1">
      <alignment horizontal="center" vertical="center" textRotation="90"/>
    </xf>
    <xf numFmtId="0" fontId="0" fillId="0" borderId="17" xfId="0" applyBorder="1" applyAlignment="1"/>
    <xf numFmtId="0" fontId="0" fillId="0" borderId="6" xfId="0" applyBorder="1" applyAlignment="1"/>
    <xf numFmtId="0" fontId="0" fillId="0" borderId="17" xfId="0" applyBorder="1" applyAlignment="1">
      <alignment horizontal="center" vertical="center" textRotation="90"/>
    </xf>
    <xf numFmtId="0" fontId="13" fillId="0" borderId="11" xfId="0" applyFont="1" applyBorder="1" applyAlignment="1"/>
    <xf numFmtId="0" fontId="0" fillId="0" borderId="11" xfId="0" applyBorder="1" applyAlignment="1"/>
    <xf numFmtId="0" fontId="0" fillId="0" borderId="0" xfId="0" applyBorder="1" applyAlignment="1">
      <alignment horizontal="center" vertical="center" textRotation="90"/>
    </xf>
    <xf numFmtId="0" fontId="0" fillId="0" borderId="10" xfId="0" applyBorder="1" applyAlignment="1"/>
    <xf numFmtId="0" fontId="13" fillId="0" borderId="0" xfId="0" applyFont="1" applyBorder="1" applyAlignment="1">
      <alignment horizontal="center" vertical="center" textRotation="90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5" fillId="0" borderId="0" xfId="0" applyFont="1" applyAlignment="1">
      <alignment horizontal="left"/>
    </xf>
    <xf numFmtId="0" fontId="13" fillId="0" borderId="2" xfId="0" applyFont="1" applyBorder="1" applyAlignment="1"/>
    <xf numFmtId="0" fontId="13" fillId="0" borderId="27" xfId="0" applyFont="1" applyBorder="1" applyAlignment="1">
      <alignment horizontal="center" vertical="center" textRotation="90"/>
    </xf>
    <xf numFmtId="0" fontId="0" fillId="0" borderId="26" xfId="0" applyBorder="1" applyAlignment="1">
      <alignment horizontal="center" vertical="center" textRotation="90"/>
    </xf>
    <xf numFmtId="0" fontId="0" fillId="0" borderId="28" xfId="0" applyBorder="1" applyAlignment="1"/>
    <xf numFmtId="0" fontId="0" fillId="0" borderId="26" xfId="0" applyBorder="1" applyAlignment="1"/>
    <xf numFmtId="14" fontId="14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6532</xdr:rowOff>
    </xdr:from>
    <xdr:to>
      <xdr:col>40</xdr:col>
      <xdr:colOff>430402</xdr:colOff>
      <xdr:row>27</xdr:row>
      <xdr:rowOff>131903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0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5940" y="166552"/>
          <a:ext cx="3204082" cy="286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65315</xdr:colOff>
      <xdr:row>26</xdr:row>
      <xdr:rowOff>157843</xdr:rowOff>
    </xdr:from>
    <xdr:to>
      <xdr:col>3</xdr:col>
      <xdr:colOff>974324</xdr:colOff>
      <xdr:row>32</xdr:row>
      <xdr:rowOff>190537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2544" y="3940629"/>
          <a:ext cx="1948594" cy="14042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10886</xdr:colOff>
      <xdr:row>1</xdr:row>
      <xdr:rowOff>22043</xdr:rowOff>
    </xdr:from>
    <xdr:to>
      <xdr:col>28</xdr:col>
      <xdr:colOff>192006</xdr:colOff>
      <xdr:row>27</xdr:row>
      <xdr:rowOff>185514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6826" y="182063"/>
          <a:ext cx="3229120" cy="290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87086</xdr:colOff>
      <xdr:row>26</xdr:row>
      <xdr:rowOff>125185</xdr:rowOff>
    </xdr:from>
    <xdr:to>
      <xdr:col>3</xdr:col>
      <xdr:colOff>947108</xdr:colOff>
      <xdr:row>33</xdr:row>
      <xdr:rowOff>168771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4315" y="3679371"/>
          <a:ext cx="1899607" cy="16437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441960</xdr:colOff>
      <xdr:row>14</xdr:row>
      <xdr:rowOff>21772</xdr:rowOff>
    </xdr:from>
    <xdr:to>
      <xdr:col>41</xdr:col>
      <xdr:colOff>476122</xdr:colOff>
      <xdr:row>30</xdr:row>
      <xdr:rowOff>147143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A4B927B-9169-4057-9061-ABF25212E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2924992"/>
          <a:ext cx="3204082" cy="28685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65315</xdr:colOff>
      <xdr:row>26</xdr:row>
      <xdr:rowOff>157843</xdr:rowOff>
    </xdr:from>
    <xdr:to>
      <xdr:col>3</xdr:col>
      <xdr:colOff>974324</xdr:colOff>
      <xdr:row>32</xdr:row>
      <xdr:rowOff>190537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C913A33-EB02-494A-B07A-124DFB85F9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72544" y="5769429"/>
          <a:ext cx="1948594" cy="14042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41366</xdr:colOff>
      <xdr:row>1</xdr:row>
      <xdr:rowOff>37283</xdr:rowOff>
    </xdr:from>
    <xdr:to>
      <xdr:col>28</xdr:col>
      <xdr:colOff>222486</xdr:colOff>
      <xdr:row>27</xdr:row>
      <xdr:rowOff>200754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EF9BA99-B572-4CED-B7DC-A33840EE0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7306" y="197303"/>
          <a:ext cx="3229120" cy="2906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87086</xdr:colOff>
      <xdr:row>26</xdr:row>
      <xdr:rowOff>125185</xdr:rowOff>
    </xdr:from>
    <xdr:to>
      <xdr:col>3</xdr:col>
      <xdr:colOff>947108</xdr:colOff>
      <xdr:row>33</xdr:row>
      <xdr:rowOff>168771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3737748-0585-4BC8-A7AB-F8225BDBF8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4315" y="5736771"/>
          <a:ext cx="1899607" cy="1643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48"/>
  <sheetViews>
    <sheetView tabSelected="1" workbookViewId="0">
      <selection activeCell="AS22" sqref="AS22"/>
    </sheetView>
  </sheetViews>
  <sheetFormatPr baseColWidth="10" defaultRowHeight="12.6" x14ac:dyDescent="0.25"/>
  <cols>
    <col min="1" max="1" width="1.6640625" customWidth="1"/>
    <col min="2" max="2" width="46.44140625" bestFit="1" customWidth="1"/>
    <col min="3" max="3" width="14.6640625" customWidth="1"/>
    <col min="4" max="4" width="17.44140625" customWidth="1"/>
    <col min="5" max="5" width="1.6640625" customWidth="1"/>
    <col min="6" max="7" width="10.77734375" hidden="1" customWidth="1"/>
    <col min="8" max="8" width="12.77734375" hidden="1" customWidth="1"/>
    <col min="9" max="9" width="5.77734375" customWidth="1"/>
    <col min="10" max="11" width="5.77734375" hidden="1" customWidth="1"/>
    <col min="12" max="25" width="6.77734375" hidden="1" customWidth="1"/>
    <col min="26" max="37" width="6.6640625" hidden="1" customWidth="1"/>
  </cols>
  <sheetData>
    <row r="1" spans="2:37" ht="12.9" customHeight="1" x14ac:dyDescent="0.25">
      <c r="B1" s="211" t="s">
        <v>52</v>
      </c>
      <c r="C1" s="212"/>
      <c r="D1" s="212"/>
    </row>
    <row r="2" spans="2:37" ht="15.6" x14ac:dyDescent="0.25">
      <c r="B2" s="209" t="s">
        <v>53</v>
      </c>
      <c r="C2" s="210"/>
      <c r="D2" s="210"/>
      <c r="E2" s="15"/>
      <c r="F2" s="15"/>
      <c r="G2" s="15"/>
      <c r="H2" s="15"/>
      <c r="I2" s="15"/>
    </row>
    <row r="3" spans="2:37" ht="15.6" x14ac:dyDescent="0.3">
      <c r="B3" s="20" t="s">
        <v>19</v>
      </c>
      <c r="C3" s="17"/>
      <c r="D3" s="17"/>
      <c r="E3" s="15"/>
      <c r="F3" s="15"/>
      <c r="G3" s="15"/>
      <c r="H3" s="15"/>
      <c r="I3" s="15"/>
    </row>
    <row r="4" spans="2:37" ht="4.95" customHeight="1" x14ac:dyDescent="0.25"/>
    <row r="5" spans="2:37" ht="18" hidden="1" customHeight="1" x14ac:dyDescent="0.3">
      <c r="B5" s="1" t="s">
        <v>4</v>
      </c>
    </row>
    <row r="6" spans="2:37" ht="18" hidden="1" customHeight="1" x14ac:dyDescent="0.25">
      <c r="B6" s="9" t="s">
        <v>2</v>
      </c>
      <c r="C6" s="6" t="s">
        <v>3</v>
      </c>
    </row>
    <row r="7" spans="2:37" ht="18" hidden="1" customHeight="1" x14ac:dyDescent="0.25">
      <c r="B7" s="3" t="s">
        <v>20</v>
      </c>
      <c r="C7" s="7" t="s">
        <v>17</v>
      </c>
      <c r="D7" s="48">
        <v>3.8029999999999999</v>
      </c>
      <c r="F7" s="13"/>
      <c r="G7" s="14"/>
      <c r="H7" s="14"/>
      <c r="I7" s="14"/>
    </row>
    <row r="8" spans="2:37" ht="18" hidden="1" customHeight="1" x14ac:dyDescent="0.25">
      <c r="B8" s="35" t="s">
        <v>31</v>
      </c>
      <c r="C8" s="7" t="s">
        <v>17</v>
      </c>
      <c r="D8" s="48">
        <v>0.88800000000000001</v>
      </c>
      <c r="F8" s="13"/>
      <c r="G8" s="14"/>
      <c r="H8" s="14"/>
      <c r="I8" s="14"/>
    </row>
    <row r="9" spans="2:37" ht="18" hidden="1" customHeight="1" x14ac:dyDescent="0.25">
      <c r="B9" s="3" t="s">
        <v>16</v>
      </c>
      <c r="C9" s="7" t="s">
        <v>8</v>
      </c>
      <c r="D9" s="49">
        <v>138.69999999999999</v>
      </c>
    </row>
    <row r="10" spans="2:37" ht="18" hidden="1" customHeight="1" x14ac:dyDescent="0.25">
      <c r="B10" s="18" t="s">
        <v>32</v>
      </c>
      <c r="C10" s="7" t="s">
        <v>8</v>
      </c>
      <c r="D10" s="50">
        <v>189.8</v>
      </c>
    </row>
    <row r="11" spans="2:37" ht="18" hidden="1" customHeight="1" x14ac:dyDescent="0.25">
      <c r="B11" s="5" t="s">
        <v>5</v>
      </c>
      <c r="C11" s="4" t="s">
        <v>12</v>
      </c>
      <c r="D11" s="50">
        <v>7000</v>
      </c>
    </row>
    <row r="12" spans="2:37" ht="18" hidden="1" customHeight="1" x14ac:dyDescent="0.25">
      <c r="B12" s="5" t="s">
        <v>10</v>
      </c>
      <c r="C12" s="2" t="s">
        <v>9</v>
      </c>
      <c r="D12" s="50">
        <v>1.2999999999999999E-2</v>
      </c>
    </row>
    <row r="13" spans="2:37" ht="18" hidden="1" customHeight="1" x14ac:dyDescent="0.25">
      <c r="F13" s="29"/>
      <c r="G13" s="29"/>
    </row>
    <row r="14" spans="2:37" ht="18" customHeight="1" thickBot="1" x14ac:dyDescent="0.35">
      <c r="B14" s="1" t="s">
        <v>0</v>
      </c>
      <c r="F14" s="21" t="s">
        <v>6</v>
      </c>
      <c r="G14" s="21" t="s">
        <v>7</v>
      </c>
      <c r="J14" s="33" t="s">
        <v>36</v>
      </c>
      <c r="X14" s="73" t="s">
        <v>11</v>
      </c>
    </row>
    <row r="15" spans="2:37" ht="18" customHeight="1" x14ac:dyDescent="0.25">
      <c r="B15" s="8" t="s">
        <v>2</v>
      </c>
      <c r="C15" s="11" t="s">
        <v>3</v>
      </c>
      <c r="D15" s="53" t="s">
        <v>18</v>
      </c>
      <c r="F15" s="22">
        <v>5</v>
      </c>
      <c r="G15" s="23">
        <v>0.8</v>
      </c>
      <c r="J15" s="214" t="s">
        <v>27</v>
      </c>
      <c r="K15" s="205"/>
      <c r="L15" s="84">
        <v>0.6</v>
      </c>
      <c r="M15" s="85">
        <v>0.6</v>
      </c>
      <c r="N15" s="86">
        <v>0.6</v>
      </c>
      <c r="O15" s="87">
        <v>0.6</v>
      </c>
      <c r="P15" s="84">
        <v>0.7</v>
      </c>
      <c r="Q15" s="85">
        <v>0.7</v>
      </c>
      <c r="R15" s="86">
        <v>0.7</v>
      </c>
      <c r="S15" s="87">
        <v>0.7</v>
      </c>
      <c r="T15" s="84">
        <v>0.8</v>
      </c>
      <c r="U15" s="85">
        <v>0.8</v>
      </c>
      <c r="V15" s="90">
        <v>0.8</v>
      </c>
      <c r="W15" s="87">
        <v>0.8</v>
      </c>
      <c r="X15" s="204" t="s">
        <v>27</v>
      </c>
      <c r="Y15" s="205"/>
      <c r="Z15" s="84">
        <v>0.6</v>
      </c>
      <c r="AA15" s="85">
        <v>0.6</v>
      </c>
      <c r="AB15" s="86">
        <v>0.6</v>
      </c>
      <c r="AC15" s="87">
        <v>0.6</v>
      </c>
      <c r="AD15" s="84">
        <v>0.7</v>
      </c>
      <c r="AE15" s="85">
        <v>0.7</v>
      </c>
      <c r="AF15" s="86">
        <v>0.7</v>
      </c>
      <c r="AG15" s="87">
        <v>0.7</v>
      </c>
      <c r="AH15" s="84">
        <v>0.8</v>
      </c>
      <c r="AI15" s="85">
        <v>0.8</v>
      </c>
      <c r="AJ15" s="90">
        <v>0.8</v>
      </c>
      <c r="AK15" s="87">
        <v>0.8</v>
      </c>
    </row>
    <row r="16" spans="2:37" ht="18" customHeight="1" x14ac:dyDescent="0.25">
      <c r="B16" s="3" t="s">
        <v>14</v>
      </c>
      <c r="C16" s="7" t="s">
        <v>22</v>
      </c>
      <c r="D16" s="44">
        <v>35</v>
      </c>
      <c r="F16" s="24">
        <v>10</v>
      </c>
      <c r="G16" s="25">
        <v>0.8</v>
      </c>
      <c r="J16" s="214" t="s">
        <v>6</v>
      </c>
      <c r="K16" s="205"/>
      <c r="L16" s="115">
        <v>5</v>
      </c>
      <c r="M16" s="116">
        <v>15</v>
      </c>
      <c r="N16" s="116">
        <v>25</v>
      </c>
      <c r="O16" s="117">
        <v>35</v>
      </c>
      <c r="P16" s="115">
        <v>5</v>
      </c>
      <c r="Q16" s="116">
        <v>15</v>
      </c>
      <c r="R16" s="116">
        <v>25</v>
      </c>
      <c r="S16" s="117">
        <v>35</v>
      </c>
      <c r="T16" s="115">
        <v>5</v>
      </c>
      <c r="U16" s="116">
        <v>15</v>
      </c>
      <c r="V16" s="116">
        <v>25</v>
      </c>
      <c r="W16" s="117">
        <v>35</v>
      </c>
      <c r="X16" s="204" t="s">
        <v>6</v>
      </c>
      <c r="Y16" s="205"/>
      <c r="Z16" s="88">
        <v>5</v>
      </c>
      <c r="AA16" s="34">
        <v>15</v>
      </c>
      <c r="AB16" s="34">
        <v>25</v>
      </c>
      <c r="AC16" s="89">
        <v>35</v>
      </c>
      <c r="AD16" s="88">
        <v>5</v>
      </c>
      <c r="AE16" s="34">
        <v>15</v>
      </c>
      <c r="AF16" s="34">
        <v>25</v>
      </c>
      <c r="AG16" s="89">
        <v>35</v>
      </c>
      <c r="AH16" s="88">
        <v>5</v>
      </c>
      <c r="AI16" s="34">
        <v>15</v>
      </c>
      <c r="AJ16" s="34">
        <v>25</v>
      </c>
      <c r="AK16" s="89">
        <v>35</v>
      </c>
    </row>
    <row r="17" spans="2:37" ht="18" hidden="1" customHeight="1" x14ac:dyDescent="0.25">
      <c r="B17" s="43"/>
      <c r="C17" s="58"/>
      <c r="D17" s="59"/>
      <c r="F17" s="24">
        <v>15</v>
      </c>
      <c r="G17" s="25">
        <v>0.8</v>
      </c>
      <c r="J17" s="200" t="s">
        <v>26</v>
      </c>
      <c r="K17" s="127">
        <v>45</v>
      </c>
      <c r="L17" s="118">
        <f>1.13*(((($D$9*$D$11*10000)/($D$21*$D$12*Z17))^(1/3))/100)</f>
        <v>4.9216010480823238</v>
      </c>
      <c r="M17" s="119">
        <f t="shared" ref="M17:W21" si="0">1.13*(((($D$9*$D$11*10000)/($D$21*$D$12*AA17))^(1/3))/100)</f>
        <v>4.8950495557568878</v>
      </c>
      <c r="N17" s="119">
        <f t="shared" si="0"/>
        <v>4.8394710026791694</v>
      </c>
      <c r="O17" s="120">
        <f t="shared" si="0"/>
        <v>4.868324257044069</v>
      </c>
      <c r="P17" s="118">
        <f t="shared" si="0"/>
        <v>4.6875656223399371</v>
      </c>
      <c r="Q17" s="119">
        <f t="shared" si="0"/>
        <v>4.6624604169620065</v>
      </c>
      <c r="R17" s="119">
        <f t="shared" si="0"/>
        <v>4.6098965921214266</v>
      </c>
      <c r="S17" s="120">
        <f t="shared" si="0"/>
        <v>4.6390194951832306</v>
      </c>
      <c r="T17" s="118">
        <f t="shared" si="0"/>
        <v>4.4925221706953158</v>
      </c>
      <c r="U17" s="119">
        <f t="shared" si="0"/>
        <v>4.4685954795902481</v>
      </c>
      <c r="V17" s="119">
        <f t="shared" si="0"/>
        <v>4.4184899543354961</v>
      </c>
      <c r="W17" s="120">
        <f t="shared" si="0"/>
        <v>4.447600302286955</v>
      </c>
      <c r="X17" s="197" t="s">
        <v>26</v>
      </c>
      <c r="Y17" s="91">
        <v>45</v>
      </c>
      <c r="Z17" s="102">
        <f>(Z$15*$Y17*(VLOOKUP(Z$16,$F$15:$G$25,2)))+((Z$15-0.037)*($D$16/COS(Z$16*PI()/180)))+($D$7/COS(Z$16*PI()/180))</f>
        <v>45.197796740969004</v>
      </c>
      <c r="AA17" s="103">
        <f t="shared" ref="AA17:AK17" si="1">(AA$15*$Y17*(VLOOKUP(AA$16,$F$15:$G$25,2)))+((AA$15-0.037)*($D$16/COS(AA$16*PI()/180)))+($D$7/COS(AA$16*PI()/180))</f>
        <v>45.937272449080233</v>
      </c>
      <c r="AB17" s="103">
        <f t="shared" si="1"/>
        <v>47.53820811897026</v>
      </c>
      <c r="AC17" s="100">
        <f t="shared" si="1"/>
        <v>46.697969032604313</v>
      </c>
      <c r="AD17" s="102">
        <f t="shared" si="1"/>
        <v>52.311166172370726</v>
      </c>
      <c r="AE17" s="103">
        <f t="shared" si="1"/>
        <v>53.160739080515519</v>
      </c>
      <c r="AF17" s="103">
        <f t="shared" si="1"/>
        <v>55.000030835338976</v>
      </c>
      <c r="AG17" s="100">
        <f t="shared" si="1"/>
        <v>53.970680093269401</v>
      </c>
      <c r="AH17" s="102">
        <f t="shared" si="1"/>
        <v>59.424535603772441</v>
      </c>
      <c r="AI17" s="103">
        <f t="shared" si="1"/>
        <v>60.38420571195082</v>
      </c>
      <c r="AJ17" s="103">
        <f t="shared" si="1"/>
        <v>62.461853551707705</v>
      </c>
      <c r="AK17" s="100">
        <f t="shared" si="1"/>
        <v>61.243391153934503</v>
      </c>
    </row>
    <row r="18" spans="2:37" ht="18" hidden="1" customHeight="1" x14ac:dyDescent="0.25">
      <c r="B18" s="60"/>
      <c r="C18" s="61"/>
      <c r="D18" s="62"/>
      <c r="F18" s="24">
        <v>20</v>
      </c>
      <c r="G18" s="25">
        <v>0.8</v>
      </c>
      <c r="J18" s="203"/>
      <c r="K18" s="128">
        <v>55</v>
      </c>
      <c r="L18" s="118">
        <f t="shared" ref="L18:L21" si="2">1.13*(((($D$9*$D$11*10000)/($D$21*$D$12*Z18))^(1/3))/100)</f>
        <v>4.7587753754597815</v>
      </c>
      <c r="M18" s="119">
        <f t="shared" si="0"/>
        <v>4.7355430493239954</v>
      </c>
      <c r="N18" s="119">
        <f t="shared" si="0"/>
        <v>4.6867581641970562</v>
      </c>
      <c r="O18" s="120">
        <f t="shared" si="0"/>
        <v>4.736766470747618</v>
      </c>
      <c r="P18" s="118">
        <f t="shared" si="0"/>
        <v>4.5313199100987136</v>
      </c>
      <c r="Q18" s="119">
        <f t="shared" si="0"/>
        <v>4.5093756078572254</v>
      </c>
      <c r="R18" s="119">
        <f t="shared" si="0"/>
        <v>4.4632842480970281</v>
      </c>
      <c r="S18" s="120">
        <f t="shared" si="0"/>
        <v>4.5125364630020899</v>
      </c>
      <c r="T18" s="118">
        <f t="shared" si="0"/>
        <v>4.3419307569451169</v>
      </c>
      <c r="U18" s="119">
        <f t="shared" si="0"/>
        <v>4.3210328980846775</v>
      </c>
      <c r="V18" s="119">
        <f t="shared" si="0"/>
        <v>4.2771313908154802</v>
      </c>
      <c r="W18" s="120">
        <f t="shared" si="0"/>
        <v>4.3255169650919809</v>
      </c>
      <c r="X18" s="206"/>
      <c r="Y18" s="83">
        <v>55</v>
      </c>
      <c r="Z18" s="104">
        <f t="shared" ref="Z18:AK21" si="3">(Z$15*$Y18*(VLOOKUP(Z$16,$F$15:$G$25,2)))+((Z$15-0.037)*($D$16/COS(Z$16*PI()/180)))+($D$7/COS(Z$16*PI()/180))</f>
        <v>49.997796740969008</v>
      </c>
      <c r="AA18" s="105">
        <f t="shared" si="3"/>
        <v>50.737272449080237</v>
      </c>
      <c r="AB18" s="105">
        <f t="shared" si="3"/>
        <v>52.338208118970257</v>
      </c>
      <c r="AC18" s="101">
        <f t="shared" si="3"/>
        <v>50.697969032604313</v>
      </c>
      <c r="AD18" s="104">
        <f t="shared" si="3"/>
        <v>57.91116617237072</v>
      </c>
      <c r="AE18" s="105">
        <f t="shared" si="3"/>
        <v>58.760739080515528</v>
      </c>
      <c r="AF18" s="105">
        <f t="shared" si="3"/>
        <v>60.600030835338984</v>
      </c>
      <c r="AG18" s="101">
        <f t="shared" si="3"/>
        <v>58.637346759936065</v>
      </c>
      <c r="AH18" s="104">
        <f t="shared" si="3"/>
        <v>65.824535603772432</v>
      </c>
      <c r="AI18" s="105">
        <f t="shared" si="3"/>
        <v>66.784205711950818</v>
      </c>
      <c r="AJ18" s="105">
        <f t="shared" si="3"/>
        <v>68.861853551707711</v>
      </c>
      <c r="AK18" s="101">
        <f t="shared" si="3"/>
        <v>66.576724487267825</v>
      </c>
    </row>
    <row r="19" spans="2:37" ht="18" customHeight="1" x14ac:dyDescent="0.25">
      <c r="B19" s="3" t="s">
        <v>15</v>
      </c>
      <c r="C19" s="7" t="s">
        <v>22</v>
      </c>
      <c r="D19" s="45">
        <v>45</v>
      </c>
      <c r="F19" s="24">
        <v>25</v>
      </c>
      <c r="G19" s="25">
        <v>0.8</v>
      </c>
      <c r="J19" s="203"/>
      <c r="K19" s="128">
        <v>65</v>
      </c>
      <c r="L19" s="118">
        <f t="shared" si="2"/>
        <v>4.6155606503490159</v>
      </c>
      <c r="M19" s="119">
        <f t="shared" si="0"/>
        <v>4.5949837399887397</v>
      </c>
      <c r="N19" s="119">
        <f t="shared" si="0"/>
        <v>4.5516614882655482</v>
      </c>
      <c r="O19" s="120">
        <f t="shared" si="0"/>
        <v>4.6183668533786202</v>
      </c>
      <c r="P19" s="118">
        <f t="shared" si="0"/>
        <v>4.3940210399201503</v>
      </c>
      <c r="Q19" s="119">
        <f t="shared" si="0"/>
        <v>4.374601393666337</v>
      </c>
      <c r="R19" s="119">
        <f t="shared" si="0"/>
        <v>4.333705853369155</v>
      </c>
      <c r="S19" s="120">
        <f t="shared" si="0"/>
        <v>4.3988087429864899</v>
      </c>
      <c r="T19" s="118">
        <f t="shared" si="0"/>
        <v>4.2096944534354925</v>
      </c>
      <c r="U19" s="119">
        <f t="shared" si="0"/>
        <v>4.191212750287499</v>
      </c>
      <c r="V19" s="119">
        <f t="shared" si="0"/>
        <v>4.1522853510492777</v>
      </c>
      <c r="W19" s="120">
        <f t="shared" si="0"/>
        <v>4.2158221554663626</v>
      </c>
      <c r="X19" s="206"/>
      <c r="Y19" s="83">
        <v>65</v>
      </c>
      <c r="Z19" s="104">
        <f t="shared" si="3"/>
        <v>54.797796740969012</v>
      </c>
      <c r="AA19" s="105">
        <f t="shared" si="3"/>
        <v>55.537272449080241</v>
      </c>
      <c r="AB19" s="105">
        <f t="shared" si="3"/>
        <v>57.138208118970255</v>
      </c>
      <c r="AC19" s="101">
        <f t="shared" si="3"/>
        <v>54.697969032604313</v>
      </c>
      <c r="AD19" s="104">
        <f t="shared" si="3"/>
        <v>63.511166172370721</v>
      </c>
      <c r="AE19" s="105">
        <f t="shared" si="3"/>
        <v>64.360739080515515</v>
      </c>
      <c r="AF19" s="105">
        <f t="shared" si="3"/>
        <v>66.200030835338978</v>
      </c>
      <c r="AG19" s="101">
        <f t="shared" si="3"/>
        <v>63.304013426602729</v>
      </c>
      <c r="AH19" s="104">
        <f t="shared" si="3"/>
        <v>72.224535603772438</v>
      </c>
      <c r="AI19" s="105">
        <f t="shared" si="3"/>
        <v>73.18420571195081</v>
      </c>
      <c r="AJ19" s="105">
        <f t="shared" si="3"/>
        <v>75.261853551707702</v>
      </c>
      <c r="AK19" s="101">
        <f t="shared" si="3"/>
        <v>71.910057820601153</v>
      </c>
    </row>
    <row r="20" spans="2:37" ht="18" customHeight="1" x14ac:dyDescent="0.25">
      <c r="B20" s="3" t="s">
        <v>1</v>
      </c>
      <c r="C20" s="7" t="s">
        <v>28</v>
      </c>
      <c r="D20" s="63">
        <v>0.7</v>
      </c>
      <c r="F20" s="24">
        <v>30</v>
      </c>
      <c r="G20" s="25">
        <f>0.8*(60-$F20)/30</f>
        <v>0.8</v>
      </c>
      <c r="J20" s="203"/>
      <c r="K20" s="128">
        <v>90</v>
      </c>
      <c r="L20" s="118">
        <f t="shared" si="2"/>
        <v>4.3207398182237187</v>
      </c>
      <c r="M20" s="119">
        <f t="shared" si="0"/>
        <v>4.3049124357050248</v>
      </c>
      <c r="N20" s="119">
        <f t="shared" si="0"/>
        <v>4.2714250276243808</v>
      </c>
      <c r="O20" s="120">
        <f t="shared" si="0"/>
        <v>4.3669874645774485</v>
      </c>
      <c r="P20" s="118">
        <f t="shared" si="0"/>
        <v>4.1117250979103819</v>
      </c>
      <c r="Q20" s="119">
        <f t="shared" si="0"/>
        <v>4.0968115449699409</v>
      </c>
      <c r="R20" s="119">
        <f t="shared" si="0"/>
        <v>4.0652505393116032</v>
      </c>
      <c r="S20" s="120">
        <f t="shared" si="0"/>
        <v>4.1576539983814707</v>
      </c>
      <c r="T20" s="118">
        <f t="shared" si="0"/>
        <v>3.9380603517413233</v>
      </c>
      <c r="U20" s="119">
        <f t="shared" si="0"/>
        <v>3.9238841645858185</v>
      </c>
      <c r="V20" s="119">
        <f t="shared" si="0"/>
        <v>3.893878529476908</v>
      </c>
      <c r="W20" s="120">
        <f t="shared" si="0"/>
        <v>3.9834428278413863</v>
      </c>
      <c r="X20" s="206"/>
      <c r="Y20" s="83">
        <v>90</v>
      </c>
      <c r="Z20" s="104">
        <f t="shared" si="3"/>
        <v>66.797796740969005</v>
      </c>
      <c r="AA20" s="105">
        <f t="shared" si="3"/>
        <v>67.537272449080234</v>
      </c>
      <c r="AB20" s="105">
        <f t="shared" si="3"/>
        <v>69.138208118970269</v>
      </c>
      <c r="AC20" s="101">
        <f t="shared" si="3"/>
        <v>64.697969032604306</v>
      </c>
      <c r="AD20" s="104">
        <f t="shared" si="3"/>
        <v>77.511166172370721</v>
      </c>
      <c r="AE20" s="105">
        <f t="shared" si="3"/>
        <v>78.360739080515515</v>
      </c>
      <c r="AF20" s="105">
        <f t="shared" si="3"/>
        <v>80.200030835338978</v>
      </c>
      <c r="AG20" s="101">
        <f t="shared" si="3"/>
        <v>74.970680093269394</v>
      </c>
      <c r="AH20" s="104">
        <f t="shared" si="3"/>
        <v>88.224535603772438</v>
      </c>
      <c r="AI20" s="105">
        <f t="shared" si="3"/>
        <v>89.18420571195081</v>
      </c>
      <c r="AJ20" s="105">
        <f t="shared" si="3"/>
        <v>91.261853551707702</v>
      </c>
      <c r="AK20" s="101">
        <f t="shared" si="3"/>
        <v>85.243391153934496</v>
      </c>
    </row>
    <row r="21" spans="2:37" ht="18" hidden="1" customHeight="1" thickBot="1" x14ac:dyDescent="0.3">
      <c r="B21" s="16" t="s">
        <v>21</v>
      </c>
      <c r="C21" s="12"/>
      <c r="D21" s="46">
        <v>200</v>
      </c>
      <c r="F21" s="24">
        <v>31</v>
      </c>
      <c r="G21" s="25">
        <f t="shared" ref="G21:G25" si="4">0.8*(60-$F21)/30</f>
        <v>0.77333333333333343</v>
      </c>
      <c r="J21" s="202"/>
      <c r="K21" s="129">
        <v>140</v>
      </c>
      <c r="L21" s="121">
        <f t="shared" si="2"/>
        <v>3.9005009777660433</v>
      </c>
      <c r="M21" s="125">
        <f t="shared" si="0"/>
        <v>3.8899692835360402</v>
      </c>
      <c r="N21" s="125">
        <f t="shared" si="0"/>
        <v>3.8675523577026825</v>
      </c>
      <c r="O21" s="126">
        <f t="shared" si="0"/>
        <v>3.9919751487607429</v>
      </c>
      <c r="P21" s="121">
        <f t="shared" si="0"/>
        <v>3.7100465049505362</v>
      </c>
      <c r="Q21" s="125">
        <f t="shared" si="0"/>
        <v>3.7001418956937409</v>
      </c>
      <c r="R21" s="125">
        <f t="shared" si="0"/>
        <v>3.6790557283818353</v>
      </c>
      <c r="S21" s="126">
        <f t="shared" si="0"/>
        <v>3.7985840895463814</v>
      </c>
      <c r="T21" s="121">
        <f t="shared" si="0"/>
        <v>3.5520668050995359</v>
      </c>
      <c r="U21" s="125">
        <f t="shared" si="0"/>
        <v>3.542665551425598</v>
      </c>
      <c r="V21" s="125">
        <f t="shared" si="0"/>
        <v>3.5226481183486476</v>
      </c>
      <c r="W21" s="126">
        <f t="shared" si="0"/>
        <v>3.6379421425900658</v>
      </c>
      <c r="X21" s="207"/>
      <c r="Y21" s="96">
        <v>140</v>
      </c>
      <c r="Z21" s="108">
        <f t="shared" si="3"/>
        <v>90.797796740969005</v>
      </c>
      <c r="AA21" s="109">
        <f t="shared" si="3"/>
        <v>91.537272449080234</v>
      </c>
      <c r="AB21" s="109">
        <f t="shared" si="3"/>
        <v>93.138208118970269</v>
      </c>
      <c r="AC21" s="110">
        <f t="shared" si="3"/>
        <v>84.697969032604306</v>
      </c>
      <c r="AD21" s="108">
        <f t="shared" si="3"/>
        <v>105.51116617237072</v>
      </c>
      <c r="AE21" s="109">
        <f t="shared" si="3"/>
        <v>106.36073908051553</v>
      </c>
      <c r="AF21" s="109">
        <f t="shared" si="3"/>
        <v>108.20003083533898</v>
      </c>
      <c r="AG21" s="110">
        <f t="shared" si="3"/>
        <v>98.304013426602722</v>
      </c>
      <c r="AH21" s="108">
        <f t="shared" si="3"/>
        <v>120.22453560377244</v>
      </c>
      <c r="AI21" s="109">
        <f t="shared" si="3"/>
        <v>121.18420571195082</v>
      </c>
      <c r="AJ21" s="109">
        <f t="shared" si="3"/>
        <v>123.26185355170772</v>
      </c>
      <c r="AK21" s="110">
        <f t="shared" si="3"/>
        <v>111.91005782060115</v>
      </c>
    </row>
    <row r="22" spans="2:37" ht="18" customHeight="1" thickBot="1" x14ac:dyDescent="0.3">
      <c r="B22" s="10" t="s">
        <v>35</v>
      </c>
      <c r="C22" s="47" t="s">
        <v>33</v>
      </c>
      <c r="D22" s="45">
        <v>10</v>
      </c>
      <c r="F22" s="26">
        <v>32</v>
      </c>
      <c r="G22" s="25">
        <f t="shared" si="4"/>
        <v>0.7466666666666667</v>
      </c>
      <c r="J22" s="33" t="s">
        <v>37</v>
      </c>
      <c r="X22" s="33" t="s">
        <v>11</v>
      </c>
    </row>
    <row r="23" spans="2:37" ht="18" customHeight="1" x14ac:dyDescent="0.25">
      <c r="F23" s="26">
        <v>33</v>
      </c>
      <c r="G23" s="25">
        <f t="shared" si="4"/>
        <v>0.72000000000000008</v>
      </c>
      <c r="J23" s="200" t="s">
        <v>26</v>
      </c>
      <c r="K23" s="127">
        <v>45</v>
      </c>
      <c r="L23" s="122">
        <f>1.09*(((($D$10*$D$11*10000)/($D$21*$D$12*Z23))^(1/3))/100)</f>
        <v>5.2364116050245144</v>
      </c>
      <c r="M23" s="123">
        <f t="shared" ref="M23:W27" si="5">1.09*(((($D$10*$D$11*10000)/($D$21*$D$12*AA23))^(1/3))/100)</f>
        <v>5.2076671021733718</v>
      </c>
      <c r="N23" s="123">
        <f t="shared" si="5"/>
        <v>5.1475330644199895</v>
      </c>
      <c r="O23" s="124">
        <f t="shared" si="5"/>
        <v>5.1738278260830066</v>
      </c>
      <c r="P23" s="122">
        <f t="shared" si="5"/>
        <v>4.9917860096695259</v>
      </c>
      <c r="Q23" s="123">
        <f t="shared" si="5"/>
        <v>4.9646396503737771</v>
      </c>
      <c r="R23" s="123">
        <f t="shared" si="5"/>
        <v>4.9078310637504714</v>
      </c>
      <c r="S23" s="124">
        <f t="shared" si="5"/>
        <v>4.9351678085321726</v>
      </c>
      <c r="T23" s="122">
        <f t="shared" si="5"/>
        <v>4.7872869608611435</v>
      </c>
      <c r="U23" s="123">
        <f t="shared" si="5"/>
        <v>4.7614398394214099</v>
      </c>
      <c r="V23" s="123">
        <f t="shared" si="5"/>
        <v>4.7073371106149393</v>
      </c>
      <c r="W23" s="124">
        <f t="shared" si="5"/>
        <v>4.7352222818521224</v>
      </c>
      <c r="X23" s="197" t="s">
        <v>26</v>
      </c>
      <c r="Y23" s="91">
        <v>45</v>
      </c>
      <c r="Z23" s="106">
        <f t="shared" ref="Z23:AK23" si="6">(Z$15*$Y17*(VLOOKUP(Z$16,$F$15:$G$25,2)))+((Z$15-0.037)*($D$16/COS(Z$16*PI()/180)))+(($D$7+$D$8)/COS(Z$16*PI()/180))</f>
        <v>46.089188756707493</v>
      </c>
      <c r="AA23" s="107">
        <f t="shared" si="6"/>
        <v>46.856597697284386</v>
      </c>
      <c r="AB23" s="107">
        <f t="shared" si="6"/>
        <v>48.518007711008948</v>
      </c>
      <c r="AC23" s="92">
        <f t="shared" si="6"/>
        <v>47.782016867424481</v>
      </c>
      <c r="AD23" s="106">
        <f t="shared" si="6"/>
        <v>53.202558188109215</v>
      </c>
      <c r="AE23" s="107">
        <f t="shared" si="6"/>
        <v>54.080064328719672</v>
      </c>
      <c r="AF23" s="107">
        <f t="shared" si="6"/>
        <v>55.979830427377664</v>
      </c>
      <c r="AG23" s="92">
        <f t="shared" si="6"/>
        <v>55.054727928089569</v>
      </c>
      <c r="AH23" s="106">
        <f t="shared" si="6"/>
        <v>60.31592761951093</v>
      </c>
      <c r="AI23" s="107">
        <f t="shared" si="6"/>
        <v>61.303530960154973</v>
      </c>
      <c r="AJ23" s="107">
        <f t="shared" si="6"/>
        <v>63.441653143746393</v>
      </c>
      <c r="AK23" s="92">
        <f t="shared" si="6"/>
        <v>62.327438988754672</v>
      </c>
    </row>
    <row r="24" spans="2:37" ht="18" customHeight="1" x14ac:dyDescent="0.35">
      <c r="B24" s="1" t="s">
        <v>13</v>
      </c>
      <c r="C24" s="37" t="s">
        <v>30</v>
      </c>
      <c r="D24" s="36" t="s">
        <v>29</v>
      </c>
      <c r="F24" s="26">
        <v>34</v>
      </c>
      <c r="G24" s="31">
        <f t="shared" si="4"/>
        <v>0.69333333333333336</v>
      </c>
      <c r="J24" s="201"/>
      <c r="K24" s="128">
        <v>55</v>
      </c>
      <c r="L24" s="118">
        <f t="shared" ref="L24:L27" si="7">1.09*(((($D$10*$D$11*10000)/($D$21*$D$12*Z24))^(1/3))/100)</f>
        <v>5.0663083900162533</v>
      </c>
      <c r="M24" s="119">
        <f t="shared" si="5"/>
        <v>5.0410948063716789</v>
      </c>
      <c r="N24" s="119">
        <f t="shared" si="5"/>
        <v>4.9881805000561288</v>
      </c>
      <c r="O24" s="120">
        <f t="shared" si="5"/>
        <v>5.0370215707671289</v>
      </c>
      <c r="P24" s="118">
        <f t="shared" si="5"/>
        <v>4.8280088540070825</v>
      </c>
      <c r="Q24" s="119">
        <f t="shared" si="5"/>
        <v>4.8042290369261584</v>
      </c>
      <c r="R24" s="119">
        <f t="shared" si="5"/>
        <v>4.7543078731623343</v>
      </c>
      <c r="S24" s="120">
        <f t="shared" si="5"/>
        <v>4.8031205235938561</v>
      </c>
      <c r="T24" s="118">
        <f t="shared" si="5"/>
        <v>4.6290331228719559</v>
      </c>
      <c r="U24" s="119">
        <f t="shared" si="5"/>
        <v>4.6064146096059622</v>
      </c>
      <c r="V24" s="119">
        <f t="shared" si="5"/>
        <v>4.5589198938046138</v>
      </c>
      <c r="W24" s="120">
        <f t="shared" si="5"/>
        <v>4.6073847558813252</v>
      </c>
      <c r="X24" s="198"/>
      <c r="Y24" s="83">
        <v>55</v>
      </c>
      <c r="Z24" s="104">
        <f t="shared" ref="Z24:AK24" si="8">(Z$15*$Y18*(VLOOKUP(Z$16,$F$15:$G$25,2)))+((Z$15-0.037)*($D$16/COS(Z$16*PI()/180)))+(($D$7+$D$8)/COS(Z$16*PI()/180))</f>
        <v>50.889188756707497</v>
      </c>
      <c r="AA24" s="105">
        <f t="shared" si="8"/>
        <v>51.65659769728439</v>
      </c>
      <c r="AB24" s="105">
        <f t="shared" si="8"/>
        <v>53.318007711008946</v>
      </c>
      <c r="AC24" s="101">
        <f t="shared" si="8"/>
        <v>51.782016867424481</v>
      </c>
      <c r="AD24" s="104">
        <f t="shared" si="8"/>
        <v>58.802558188109209</v>
      </c>
      <c r="AE24" s="105">
        <f t="shared" si="8"/>
        <v>59.680064328719681</v>
      </c>
      <c r="AF24" s="105">
        <f t="shared" si="8"/>
        <v>61.579830427377672</v>
      </c>
      <c r="AG24" s="101">
        <f t="shared" si="8"/>
        <v>59.721394594756234</v>
      </c>
      <c r="AH24" s="104">
        <f t="shared" si="8"/>
        <v>66.715927619510936</v>
      </c>
      <c r="AI24" s="105">
        <f t="shared" si="8"/>
        <v>67.703530960154978</v>
      </c>
      <c r="AJ24" s="105">
        <f t="shared" si="8"/>
        <v>69.841653143746399</v>
      </c>
      <c r="AK24" s="101">
        <f t="shared" si="8"/>
        <v>67.660772322088008</v>
      </c>
    </row>
    <row r="25" spans="2:37" ht="18" hidden="1" customHeight="1" x14ac:dyDescent="0.25">
      <c r="B25" s="18" t="s">
        <v>11</v>
      </c>
      <c r="C25" s="19">
        <f>($D$20*($D$19*$G$26))+(($D$20-0.037)*($D$16/COS($D$22*PI()/180)))+($D$7/COS($D$22*PI()/180))</f>
        <v>52.624641933810203</v>
      </c>
      <c r="D25" s="38">
        <f>($D$20*($D$19*$G$26))+(($D$20-0.037)*($D$16/COS($D$22*PI()/180)))+(($D$7+$D$8)/COS($D$22*PI()/180))</f>
        <v>53.52634076516474</v>
      </c>
      <c r="F25" s="27">
        <v>35</v>
      </c>
      <c r="G25" s="32">
        <f t="shared" si="4"/>
        <v>0.66666666666666663</v>
      </c>
      <c r="J25" s="201"/>
      <c r="K25" s="128">
        <v>65</v>
      </c>
      <c r="L25" s="118">
        <f t="shared" si="7"/>
        <v>4.9163542375033531</v>
      </c>
      <c r="M25" s="119">
        <f t="shared" si="5"/>
        <v>4.893976698513093</v>
      </c>
      <c r="N25" s="119">
        <f t="shared" si="5"/>
        <v>4.8468906886269334</v>
      </c>
      <c r="O25" s="120">
        <f t="shared" si="5"/>
        <v>4.9136255847310331</v>
      </c>
      <c r="P25" s="118">
        <f t="shared" si="5"/>
        <v>4.683808083238552</v>
      </c>
      <c r="Q25" s="119">
        <f t="shared" si="5"/>
        <v>4.6627264801094439</v>
      </c>
      <c r="R25" s="119">
        <f t="shared" si="5"/>
        <v>4.6183534122782151</v>
      </c>
      <c r="S25" s="120">
        <f t="shared" si="5"/>
        <v>4.684159575558513</v>
      </c>
      <c r="T25" s="118">
        <f t="shared" si="5"/>
        <v>4.4898255452549725</v>
      </c>
      <c r="U25" s="119">
        <f t="shared" si="5"/>
        <v>4.4697904566660407</v>
      </c>
      <c r="V25" s="119">
        <f t="shared" si="5"/>
        <v>4.4276100356163157</v>
      </c>
      <c r="W25" s="120">
        <f t="shared" si="5"/>
        <v>4.4923218900602544</v>
      </c>
      <c r="X25" s="198"/>
      <c r="Y25" s="83">
        <v>65</v>
      </c>
      <c r="Z25" s="104">
        <f t="shared" ref="Z25:AK25" si="9">(Z$15*$Y19*(VLOOKUP(Z$16,$F$15:$G$25,2)))+((Z$15-0.037)*($D$16/COS(Z$16*PI()/180)))+(($D$7+$D$8)/COS(Z$16*PI()/180))</f>
        <v>55.689188756707502</v>
      </c>
      <c r="AA25" s="105">
        <f t="shared" si="9"/>
        <v>56.456597697284394</v>
      </c>
      <c r="AB25" s="105">
        <f t="shared" si="9"/>
        <v>58.11800771100895</v>
      </c>
      <c r="AC25" s="101">
        <f t="shared" si="9"/>
        <v>55.782016867424481</v>
      </c>
      <c r="AD25" s="104">
        <f t="shared" si="9"/>
        <v>64.402558188109211</v>
      </c>
      <c r="AE25" s="105">
        <f t="shared" si="9"/>
        <v>65.280064328719675</v>
      </c>
      <c r="AF25" s="105">
        <f t="shared" si="9"/>
        <v>67.179830427377667</v>
      </c>
      <c r="AG25" s="101">
        <f t="shared" si="9"/>
        <v>64.388061261422905</v>
      </c>
      <c r="AH25" s="104">
        <f t="shared" si="9"/>
        <v>73.115927619510941</v>
      </c>
      <c r="AI25" s="105">
        <f t="shared" si="9"/>
        <v>74.10353096015497</v>
      </c>
      <c r="AJ25" s="105">
        <f t="shared" si="9"/>
        <v>76.24165314374639</v>
      </c>
      <c r="AK25" s="101">
        <f t="shared" si="9"/>
        <v>72.994105655421336</v>
      </c>
    </row>
    <row r="26" spans="2:37" ht="18" customHeight="1" x14ac:dyDescent="0.3">
      <c r="B26" s="195" t="s">
        <v>57</v>
      </c>
      <c r="C26" s="95">
        <f>1.13*((($D$9*$D$11*10000/($D$21*$D$12*$C$25))^(1/3))/100)</f>
        <v>4.6782394108194572</v>
      </c>
      <c r="D26" s="95">
        <f>1.09*((($D$10*$D$11*10000/($D$21*$D$12*$D$25))^(1/3))/100)</f>
        <v>4.9817004876978848</v>
      </c>
      <c r="F26" s="21" t="s">
        <v>23</v>
      </c>
      <c r="G26" s="28">
        <f>VLOOKUP($D$22,$F$15:$G25,2)</f>
        <v>0.8</v>
      </c>
      <c r="J26" s="201"/>
      <c r="K26" s="128">
        <v>90</v>
      </c>
      <c r="L26" s="118">
        <f t="shared" si="7"/>
        <v>4.6067399272879301</v>
      </c>
      <c r="M26" s="119">
        <f t="shared" si="5"/>
        <v>4.5894611128663829</v>
      </c>
      <c r="N26" s="119">
        <f t="shared" si="5"/>
        <v>4.5529226843083128</v>
      </c>
      <c r="O26" s="120">
        <f t="shared" si="5"/>
        <v>4.6508364738762573</v>
      </c>
      <c r="P26" s="118">
        <f t="shared" si="5"/>
        <v>4.3865530585294774</v>
      </c>
      <c r="Q26" s="119">
        <f t="shared" si="5"/>
        <v>4.3703088871269005</v>
      </c>
      <c r="R26" s="119">
        <f t="shared" si="5"/>
        <v>4.3359481951510448</v>
      </c>
      <c r="S26" s="120">
        <f t="shared" si="5"/>
        <v>4.4312344205993703</v>
      </c>
      <c r="T26" s="118">
        <f t="shared" si="5"/>
        <v>4.2032157934287859</v>
      </c>
      <c r="U26" s="119">
        <f t="shared" si="5"/>
        <v>4.1878025260808407</v>
      </c>
      <c r="V26" s="119">
        <f t="shared" si="5"/>
        <v>4.1551920887026643</v>
      </c>
      <c r="W26" s="120">
        <f t="shared" si="5"/>
        <v>4.2479935199115912</v>
      </c>
      <c r="X26" s="198"/>
      <c r="Y26" s="83">
        <v>90</v>
      </c>
      <c r="Z26" s="104">
        <f t="shared" ref="Z26:AK26" si="10">(Z$15*$Y20*(VLOOKUP(Z$16,$F$15:$G$25,2)))+((Z$15-0.037)*($D$16/COS(Z$16*PI()/180)))+(($D$7+$D$8)/COS(Z$16*PI()/180))</f>
        <v>67.689188756707509</v>
      </c>
      <c r="AA26" s="105">
        <f t="shared" si="10"/>
        <v>68.456597697284394</v>
      </c>
      <c r="AB26" s="105">
        <f t="shared" si="10"/>
        <v>70.118007711008957</v>
      </c>
      <c r="AC26" s="101">
        <f t="shared" si="10"/>
        <v>65.782016867424488</v>
      </c>
      <c r="AD26" s="104">
        <f t="shared" si="10"/>
        <v>78.402558188109225</v>
      </c>
      <c r="AE26" s="105">
        <f t="shared" si="10"/>
        <v>79.280064328719675</v>
      </c>
      <c r="AF26" s="105">
        <f t="shared" si="10"/>
        <v>81.179830427377667</v>
      </c>
      <c r="AG26" s="101">
        <f t="shared" si="10"/>
        <v>76.054727928089576</v>
      </c>
      <c r="AH26" s="104">
        <f t="shared" si="10"/>
        <v>89.115927619510941</v>
      </c>
      <c r="AI26" s="105">
        <f t="shared" si="10"/>
        <v>90.10353096015497</v>
      </c>
      <c r="AJ26" s="105">
        <f t="shared" si="10"/>
        <v>92.24165314374639</v>
      </c>
      <c r="AK26" s="101">
        <f t="shared" si="10"/>
        <v>86.327438988754679</v>
      </c>
    </row>
    <row r="27" spans="2:37" ht="18" customHeight="1" thickBot="1" x14ac:dyDescent="0.35">
      <c r="B27" s="41"/>
      <c r="C27" s="42"/>
      <c r="D27" s="43"/>
      <c r="F27" s="213" t="s">
        <v>24</v>
      </c>
      <c r="G27" s="213"/>
      <c r="H27" s="213"/>
      <c r="I27" s="52"/>
      <c r="J27" s="202"/>
      <c r="K27" s="98">
        <v>140</v>
      </c>
      <c r="L27" s="121">
        <f t="shared" si="7"/>
        <v>4.1635209528549799</v>
      </c>
      <c r="M27" s="125">
        <f t="shared" si="5"/>
        <v>4.1519695715021037</v>
      </c>
      <c r="N27" s="125">
        <f t="shared" si="5"/>
        <v>4.127393629354021</v>
      </c>
      <c r="O27" s="126">
        <f t="shared" si="5"/>
        <v>4.2569777508143209</v>
      </c>
      <c r="P27" s="121">
        <f t="shared" si="5"/>
        <v>3.9620149332710013</v>
      </c>
      <c r="Q27" s="125">
        <f t="shared" si="5"/>
        <v>3.9511828025460773</v>
      </c>
      <c r="R27" s="125">
        <f t="shared" si="5"/>
        <v>3.9281312723386046</v>
      </c>
      <c r="S27" s="126">
        <f t="shared" si="5"/>
        <v>4.0531131215751506</v>
      </c>
      <c r="T27" s="121">
        <f t="shared" si="5"/>
        <v>3.7946032825146059</v>
      </c>
      <c r="U27" s="125">
        <f t="shared" si="5"/>
        <v>3.7843450144365773</v>
      </c>
      <c r="V27" s="125">
        <f t="shared" si="5"/>
        <v>3.7625105311183642</v>
      </c>
      <c r="W27" s="126">
        <f t="shared" si="5"/>
        <v>3.8834245187981313</v>
      </c>
      <c r="X27" s="199"/>
      <c r="Y27" s="111">
        <v>140</v>
      </c>
      <c r="Z27" s="112">
        <f>(Z$15*$Y21*(VLOOKUP(Z$16,$F$15:$G$25,2)))+((Z$15-0.037)*($D$16/COS(Z$16*PI()/180)))+(($D$7+$D$8)/COS(Z$16*PI()/180))</f>
        <v>91.689188756707509</v>
      </c>
      <c r="AA27" s="113">
        <f t="shared" ref="AA27:AK27" si="11">(AA$15*$Y21*(VLOOKUP(AA$16,$F$15:$G$25,2)))+((AA$15-0.037)*($D$16/COS(AA$16*PI()/180)))+(($D$7+$D$8)/COS(AA$16*PI()/180))</f>
        <v>92.456597697284394</v>
      </c>
      <c r="AB27" s="113">
        <f t="shared" si="11"/>
        <v>94.118007711008957</v>
      </c>
      <c r="AC27" s="114">
        <f t="shared" si="11"/>
        <v>85.782016867424488</v>
      </c>
      <c r="AD27" s="112">
        <f t="shared" si="11"/>
        <v>106.40255818810923</v>
      </c>
      <c r="AE27" s="113">
        <f t="shared" si="11"/>
        <v>107.28006432871969</v>
      </c>
      <c r="AF27" s="113">
        <f t="shared" si="11"/>
        <v>109.17983042737767</v>
      </c>
      <c r="AG27" s="114">
        <f t="shared" si="11"/>
        <v>99.388061261422905</v>
      </c>
      <c r="AH27" s="112">
        <f t="shared" si="11"/>
        <v>121.11592761951094</v>
      </c>
      <c r="AI27" s="113">
        <f t="shared" si="11"/>
        <v>122.10353096015498</v>
      </c>
      <c r="AJ27" s="113">
        <f t="shared" si="11"/>
        <v>124.2416531437464</v>
      </c>
      <c r="AK27" s="114">
        <f t="shared" si="11"/>
        <v>112.99410565542134</v>
      </c>
    </row>
    <row r="28" spans="2:37" ht="18" customHeight="1" x14ac:dyDescent="0.25">
      <c r="B28" s="39"/>
      <c r="C28" s="40"/>
      <c r="D28" s="40"/>
      <c r="F28" s="30" t="s">
        <v>25</v>
      </c>
      <c r="J28" s="74"/>
      <c r="K28" s="75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</row>
    <row r="29" spans="2:37" ht="18" customHeight="1" thickBot="1" x14ac:dyDescent="0.3">
      <c r="J29" s="160"/>
      <c r="K29" s="79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</row>
    <row r="30" spans="2:37" ht="18" customHeight="1" thickBot="1" x14ac:dyDescent="0.3">
      <c r="J30" s="159"/>
      <c r="K30" s="79"/>
      <c r="L30" s="80"/>
      <c r="M30" s="80"/>
      <c r="N30" s="80"/>
      <c r="O30" s="80"/>
      <c r="P30" s="80"/>
      <c r="Q30" s="72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2:37" ht="18" customHeight="1" x14ac:dyDescent="0.25">
      <c r="J31" s="159"/>
      <c r="K31" s="79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2:37" ht="18" customHeight="1" x14ac:dyDescent="0.25">
      <c r="J32" s="159"/>
      <c r="K32" s="79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2:27" ht="18" customHeight="1" x14ac:dyDescent="0.25">
      <c r="J33" s="8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2:27" ht="18" customHeight="1" x14ac:dyDescent="0.25">
      <c r="J34" s="208"/>
      <c r="K34" s="79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2:27" ht="18" customHeight="1" x14ac:dyDescent="0.25">
      <c r="J35" s="206"/>
      <c r="K35" s="79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2:27" ht="18" customHeight="1" x14ac:dyDescent="0.25">
      <c r="J36" s="206"/>
      <c r="K36" s="79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2:27" ht="18" customHeight="1" x14ac:dyDescent="0.25">
      <c r="J37" s="206"/>
      <c r="K37" s="79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2:27" ht="18" customHeight="1" x14ac:dyDescent="0.25"/>
    <row r="39" spans="2:27" ht="18" customHeight="1" x14ac:dyDescent="0.25">
      <c r="B39" t="s">
        <v>40</v>
      </c>
      <c r="D39">
        <f>$D$20*$D$19*$G$26</f>
        <v>25.2</v>
      </c>
    </row>
    <row r="40" spans="2:27" ht="18" customHeight="1" x14ac:dyDescent="0.25">
      <c r="B40" t="s">
        <v>41</v>
      </c>
      <c r="C40" s="66"/>
      <c r="D40" s="66">
        <f>(($D$20-0.037)*$D$16)/COS($D$22*PI()/180)</f>
        <v>23.562974528808713</v>
      </c>
    </row>
    <row r="41" spans="2:27" ht="18" customHeight="1" x14ac:dyDescent="0.25">
      <c r="B41" t="s">
        <v>42</v>
      </c>
      <c r="C41" s="66"/>
      <c r="D41" s="66">
        <f>$D$7/COS($D$22*PI()/180)</f>
        <v>3.8616674050014881</v>
      </c>
    </row>
    <row r="42" spans="2:27" ht="18" customHeight="1" x14ac:dyDescent="0.25">
      <c r="B42" s="67" t="s">
        <v>39</v>
      </c>
      <c r="C42" s="68"/>
      <c r="D42" s="68">
        <f>($D$7+$D$8)/COS($D$22*PI()/180)</f>
        <v>4.7633662363560294</v>
      </c>
    </row>
    <row r="43" spans="2:27" ht="18" customHeight="1" x14ac:dyDescent="0.25">
      <c r="B43" t="s">
        <v>43</v>
      </c>
      <c r="C43" s="69"/>
      <c r="D43" s="69">
        <f>$D$39+$D$40+$D$41</f>
        <v>52.624641933810203</v>
      </c>
    </row>
    <row r="44" spans="2:27" ht="18" customHeight="1" x14ac:dyDescent="0.25">
      <c r="B44" s="67" t="s">
        <v>44</v>
      </c>
      <c r="C44" s="70"/>
      <c r="D44" s="70">
        <f>$D$39+$D$40+$D$42</f>
        <v>53.52634076516474</v>
      </c>
    </row>
    <row r="45" spans="2:27" ht="18" customHeight="1" x14ac:dyDescent="0.25">
      <c r="B45" s="40" t="s">
        <v>46</v>
      </c>
      <c r="D45" s="71">
        <f>10*(($D$9*$D$11*10000)/($D$21*$D$12*$D$43))^(1/3)</f>
        <v>4140.0348768313779</v>
      </c>
    </row>
    <row r="46" spans="2:27" ht="18" customHeight="1" x14ac:dyDescent="0.25">
      <c r="B46" s="40" t="s">
        <v>45</v>
      </c>
      <c r="D46" s="71">
        <f>10*(($D$10*$D$11*10000)/($D$21*$D$12*$D$44))^(1/3)</f>
        <v>4570.3674199063162</v>
      </c>
    </row>
    <row r="47" spans="2:27" ht="18" customHeight="1" x14ac:dyDescent="0.25"/>
    <row r="48" spans="2:27" ht="18" customHeight="1" x14ac:dyDescent="0.25"/>
  </sheetData>
  <sheetProtection algorithmName="SHA-512" hashValue="9lhwW0xublCai0G1NfUdA4Uk5dwCtRAA1Kjz2B+t2b9cpIKX7HD08JoXe9YAr9NwTO8tDrqq+rV9o2HPHcDUcw==" saltValue="5YvqjlEpTc4T83uYpbBXxg==" spinCount="100000" sheet="1" objects="1" scenarios="1"/>
  <mergeCells count="12">
    <mergeCell ref="J34:J37"/>
    <mergeCell ref="B2:D2"/>
    <mergeCell ref="B1:D1"/>
    <mergeCell ref="F27:H27"/>
    <mergeCell ref="J15:K15"/>
    <mergeCell ref="J16:K16"/>
    <mergeCell ref="X23:X27"/>
    <mergeCell ref="J23:J27"/>
    <mergeCell ref="J17:J21"/>
    <mergeCell ref="X15:Y15"/>
    <mergeCell ref="X16:Y16"/>
    <mergeCell ref="X17:X21"/>
  </mergeCells>
  <phoneticPr fontId="0" type="noConversion"/>
  <pageMargins left="0.39370078740157483" right="0" top="0.39370078740157483" bottom="0" header="0" footer="0"/>
  <pageSetup paperSize="9" scale="51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47"/>
  <sheetViews>
    <sheetView workbookViewId="0">
      <selection activeCell="AD30" sqref="AD30"/>
    </sheetView>
  </sheetViews>
  <sheetFormatPr baseColWidth="10" defaultRowHeight="12.6" x14ac:dyDescent="0.25"/>
  <cols>
    <col min="1" max="1" width="1.6640625" customWidth="1"/>
    <col min="2" max="2" width="46.44140625" bestFit="1" customWidth="1"/>
    <col min="3" max="3" width="14.6640625" customWidth="1"/>
    <col min="4" max="4" width="17.44140625" customWidth="1"/>
    <col min="5" max="5" width="1.6640625" customWidth="1"/>
    <col min="6" max="7" width="10.77734375" hidden="1" customWidth="1"/>
    <col min="8" max="8" width="12.77734375" hidden="1" customWidth="1"/>
    <col min="9" max="9" width="5.77734375" customWidth="1"/>
    <col min="10" max="11" width="5.77734375" hidden="1" customWidth="1"/>
    <col min="12" max="23" width="6.77734375" hidden="1" customWidth="1"/>
    <col min="24" max="27" width="6.77734375" customWidth="1"/>
  </cols>
  <sheetData>
    <row r="1" spans="2:23" ht="12.9" customHeight="1" x14ac:dyDescent="0.25">
      <c r="B1" s="219" t="s">
        <v>58</v>
      </c>
      <c r="C1" s="212"/>
      <c r="D1" s="212"/>
    </row>
    <row r="2" spans="2:23" ht="15.6" x14ac:dyDescent="0.25">
      <c r="B2" s="209" t="s">
        <v>54</v>
      </c>
      <c r="C2" s="210"/>
      <c r="D2" s="210"/>
      <c r="E2" s="15"/>
      <c r="F2" s="15"/>
      <c r="G2" s="15"/>
      <c r="H2" s="15"/>
      <c r="I2" s="15"/>
    </row>
    <row r="3" spans="2:23" ht="15.6" x14ac:dyDescent="0.3">
      <c r="B3" s="20" t="s">
        <v>34</v>
      </c>
      <c r="C3" s="54"/>
      <c r="D3" s="54"/>
      <c r="E3" s="15"/>
      <c r="F3" s="15"/>
      <c r="G3" s="15"/>
      <c r="H3" s="15"/>
      <c r="I3" s="15"/>
    </row>
    <row r="4" spans="2:23" ht="4.95" customHeight="1" x14ac:dyDescent="0.25"/>
    <row r="5" spans="2:23" ht="18" hidden="1" customHeight="1" x14ac:dyDescent="0.3">
      <c r="B5" s="1" t="s">
        <v>4</v>
      </c>
    </row>
    <row r="6" spans="2:23" ht="18" hidden="1" customHeight="1" x14ac:dyDescent="0.25">
      <c r="B6" s="9" t="s">
        <v>2</v>
      </c>
      <c r="C6" s="6" t="s">
        <v>3</v>
      </c>
    </row>
    <row r="7" spans="2:23" ht="18" hidden="1" customHeight="1" x14ac:dyDescent="0.25">
      <c r="B7" s="3" t="s">
        <v>20</v>
      </c>
      <c r="C7" s="7" t="s">
        <v>17</v>
      </c>
      <c r="D7" s="48">
        <v>4.157</v>
      </c>
      <c r="F7" s="13"/>
      <c r="G7" s="14"/>
      <c r="H7" s="14"/>
      <c r="I7" s="14"/>
    </row>
    <row r="8" spans="2:23" ht="18" hidden="1" customHeight="1" x14ac:dyDescent="0.25">
      <c r="B8" s="35" t="s">
        <v>31</v>
      </c>
      <c r="C8" s="7" t="s">
        <v>17</v>
      </c>
      <c r="D8" s="48">
        <v>0.88800000000000001</v>
      </c>
      <c r="F8" s="13"/>
      <c r="G8" s="14"/>
      <c r="H8" s="14"/>
      <c r="I8" s="14"/>
    </row>
    <row r="9" spans="2:23" ht="18" hidden="1" customHeight="1" x14ac:dyDescent="0.25">
      <c r="B9" s="3" t="s">
        <v>16</v>
      </c>
      <c r="C9" s="7" t="s">
        <v>8</v>
      </c>
      <c r="D9" s="49">
        <v>231.1</v>
      </c>
    </row>
    <row r="10" spans="2:23" ht="18" hidden="1" customHeight="1" x14ac:dyDescent="0.25">
      <c r="B10" s="18" t="s">
        <v>32</v>
      </c>
      <c r="C10" s="7" t="s">
        <v>8</v>
      </c>
      <c r="D10" s="56">
        <v>304.29399999999998</v>
      </c>
    </row>
    <row r="11" spans="2:23" ht="18" hidden="1" customHeight="1" x14ac:dyDescent="0.25">
      <c r="B11" s="5" t="s">
        <v>5</v>
      </c>
      <c r="C11" s="4" t="s">
        <v>12</v>
      </c>
      <c r="D11" s="57">
        <v>7000</v>
      </c>
    </row>
    <row r="12" spans="2:23" ht="18" hidden="1" customHeight="1" x14ac:dyDescent="0.25">
      <c r="B12" s="5" t="s">
        <v>10</v>
      </c>
      <c r="C12" s="2" t="s">
        <v>9</v>
      </c>
      <c r="D12" s="50">
        <v>1.2999999999999999E-2</v>
      </c>
    </row>
    <row r="13" spans="2:23" ht="18" hidden="1" customHeight="1" x14ac:dyDescent="0.25">
      <c r="F13" s="29"/>
      <c r="G13" s="29"/>
    </row>
    <row r="14" spans="2:23" ht="18" customHeight="1" thickBot="1" x14ac:dyDescent="0.35">
      <c r="B14" s="1" t="s">
        <v>0</v>
      </c>
      <c r="F14" s="21" t="s">
        <v>6</v>
      </c>
      <c r="G14" s="21" t="s">
        <v>7</v>
      </c>
      <c r="J14" s="33" t="s">
        <v>50</v>
      </c>
    </row>
    <row r="15" spans="2:23" ht="18" customHeight="1" x14ac:dyDescent="0.25">
      <c r="B15" s="8" t="s">
        <v>2</v>
      </c>
      <c r="C15" s="11" t="s">
        <v>3</v>
      </c>
      <c r="D15" s="53" t="s">
        <v>18</v>
      </c>
      <c r="F15" s="22">
        <v>5</v>
      </c>
      <c r="G15" s="23">
        <v>0.8</v>
      </c>
      <c r="J15" s="214" t="s">
        <v>27</v>
      </c>
      <c r="K15" s="205"/>
      <c r="L15" s="84">
        <v>0.6</v>
      </c>
      <c r="M15" s="85">
        <v>0.6</v>
      </c>
      <c r="N15" s="90">
        <v>0.6</v>
      </c>
      <c r="O15" s="85">
        <v>0.6</v>
      </c>
      <c r="P15" s="84">
        <v>0.7</v>
      </c>
      <c r="Q15" s="85">
        <v>0.7</v>
      </c>
      <c r="R15" s="90">
        <v>0.7</v>
      </c>
      <c r="S15" s="87">
        <v>0.7</v>
      </c>
      <c r="T15" s="85">
        <v>0.8</v>
      </c>
      <c r="U15" s="85">
        <v>0.8</v>
      </c>
      <c r="V15" s="90">
        <v>0.8</v>
      </c>
      <c r="W15" s="87">
        <v>0.8</v>
      </c>
    </row>
    <row r="16" spans="2:23" ht="18" customHeight="1" x14ac:dyDescent="0.25">
      <c r="B16" s="3" t="s">
        <v>14</v>
      </c>
      <c r="C16" s="7" t="s">
        <v>22</v>
      </c>
      <c r="D16" s="44">
        <v>35</v>
      </c>
      <c r="F16" s="24">
        <v>10</v>
      </c>
      <c r="G16" s="25">
        <v>0.8</v>
      </c>
      <c r="J16" s="214" t="s">
        <v>6</v>
      </c>
      <c r="K16" s="205"/>
      <c r="L16" s="88">
        <v>5</v>
      </c>
      <c r="M16" s="34">
        <v>15</v>
      </c>
      <c r="N16" s="34">
        <v>25</v>
      </c>
      <c r="O16" s="169">
        <v>35</v>
      </c>
      <c r="P16" s="88">
        <v>5</v>
      </c>
      <c r="Q16" s="34">
        <v>15</v>
      </c>
      <c r="R16" s="34">
        <v>25</v>
      </c>
      <c r="S16" s="89">
        <v>35</v>
      </c>
      <c r="T16" s="173">
        <v>5</v>
      </c>
      <c r="U16" s="34">
        <v>15</v>
      </c>
      <c r="V16" s="34">
        <v>25</v>
      </c>
      <c r="W16" s="89">
        <v>35</v>
      </c>
    </row>
    <row r="17" spans="2:27" ht="18" hidden="1" customHeight="1" x14ac:dyDescent="0.25">
      <c r="B17" s="43"/>
      <c r="C17" s="58"/>
      <c r="D17" s="59"/>
      <c r="F17" s="24">
        <v>15</v>
      </c>
      <c r="G17" s="25">
        <v>0.8</v>
      </c>
      <c r="J17" s="200" t="s">
        <v>26</v>
      </c>
      <c r="K17" s="127">
        <v>45</v>
      </c>
      <c r="L17" s="161">
        <f>1.13*((($D$9*$D$11*10000/($D$21*$D$12*((L$15*(((VLOOKUP(L$16,$F$15:$G$25,2))*$K17))+((L$15-0.037)*($D$16/COS(L$16*PI()/180))))+($D$7/COS(L$16*PI()/180)))))^(1/3))/100)</f>
        <v>5.8194309752034545</v>
      </c>
      <c r="M17" s="162">
        <f t="shared" ref="M17:W17" si="0">1.13*((($D$9*$D$11*10000/($D$21*$D$12*((M$15*(((VLOOKUP(M$16,$F$15:$G$25,2))*$K17))+((M$15-0.037)*($D$16/COS(M$16*PI()/180))))+($D$7/COS(M$16*PI()/180)))))^(1/3))/100)</f>
        <v>5.7878140426194467</v>
      </c>
      <c r="N17" s="162">
        <f t="shared" si="0"/>
        <v>5.7216478614587976</v>
      </c>
      <c r="O17" s="170">
        <f t="shared" si="0"/>
        <v>5.753787223551436</v>
      </c>
      <c r="P17" s="161">
        <f t="shared" si="0"/>
        <v>5.5446625434182284</v>
      </c>
      <c r="Q17" s="162">
        <f t="shared" si="0"/>
        <v>5.5147827442647044</v>
      </c>
      <c r="R17" s="162">
        <f t="shared" si="0"/>
        <v>5.4522349610802348</v>
      </c>
      <c r="S17" s="94">
        <f t="shared" si="0"/>
        <v>5.4850359775644693</v>
      </c>
      <c r="T17" s="174">
        <f t="shared" si="0"/>
        <v>5.3153878261034171</v>
      </c>
      <c r="U17" s="162">
        <f t="shared" si="0"/>
        <v>5.2869220759288007</v>
      </c>
      <c r="V17" s="162">
        <f t="shared" si="0"/>
        <v>5.2273220068541741</v>
      </c>
      <c r="W17" s="94">
        <f t="shared" si="0"/>
        <v>5.2603622991771939</v>
      </c>
    </row>
    <row r="18" spans="2:27" ht="18" hidden="1" customHeight="1" x14ac:dyDescent="0.25">
      <c r="B18" s="60"/>
      <c r="C18" s="61"/>
      <c r="D18" s="62"/>
      <c r="F18" s="24">
        <v>20</v>
      </c>
      <c r="G18" s="25">
        <v>0.8</v>
      </c>
      <c r="J18" s="203"/>
      <c r="K18" s="128">
        <v>55</v>
      </c>
      <c r="L18" s="163">
        <f t="shared" ref="L18:W21" si="1">1.13*((($D$9*$D$11*10000/($D$21*$D$12*((L$15*(((VLOOKUP(L$16,$F$15:$G$25,2))*$K18))+((L$15-0.037)*($D$16/COS(L$16*PI()/180))))+($D$7/COS(L$16*PI()/180)))))^(1/3))/100)</f>
        <v>5.6283069895661413</v>
      </c>
      <c r="M18" s="164">
        <f t="shared" si="1"/>
        <v>5.6006148004212992</v>
      </c>
      <c r="N18" s="164">
        <f t="shared" si="1"/>
        <v>5.542478486095475</v>
      </c>
      <c r="O18" s="171">
        <f t="shared" si="1"/>
        <v>5.5996520639452481</v>
      </c>
      <c r="P18" s="163">
        <f t="shared" si="1"/>
        <v>5.3610143104926165</v>
      </c>
      <c r="Q18" s="164">
        <f t="shared" si="1"/>
        <v>5.3348738264541113</v>
      </c>
      <c r="R18" s="164">
        <f t="shared" si="1"/>
        <v>5.2799801629782017</v>
      </c>
      <c r="S18" s="97">
        <f t="shared" si="1"/>
        <v>5.3366111022549063</v>
      </c>
      <c r="T18" s="175">
        <f t="shared" si="1"/>
        <v>5.1382036553442543</v>
      </c>
      <c r="U18" s="164">
        <f t="shared" si="1"/>
        <v>5.1133221529091788</v>
      </c>
      <c r="V18" s="164">
        <f t="shared" si="1"/>
        <v>5.0610614440819104</v>
      </c>
      <c r="W18" s="97">
        <f t="shared" si="1"/>
        <v>5.1169268182271654</v>
      </c>
    </row>
    <row r="19" spans="2:27" ht="18" customHeight="1" x14ac:dyDescent="0.25">
      <c r="B19" s="3" t="s">
        <v>15</v>
      </c>
      <c r="C19" s="7" t="s">
        <v>22</v>
      </c>
      <c r="D19" s="45">
        <v>45</v>
      </c>
      <c r="F19" s="24">
        <v>25</v>
      </c>
      <c r="G19" s="25">
        <v>0.8</v>
      </c>
      <c r="J19" s="203"/>
      <c r="K19" s="128">
        <v>65</v>
      </c>
      <c r="L19" s="163">
        <f t="shared" si="1"/>
        <v>5.4600491419979411</v>
      </c>
      <c r="M19" s="164">
        <f t="shared" si="1"/>
        <v>5.4355018657175123</v>
      </c>
      <c r="N19" s="164">
        <f t="shared" si="1"/>
        <v>5.3838325164882024</v>
      </c>
      <c r="O19" s="171">
        <f t="shared" si="1"/>
        <v>5.4608091868488948</v>
      </c>
      <c r="P19" s="163">
        <f t="shared" si="1"/>
        <v>5.1995078960328911</v>
      </c>
      <c r="Q19" s="164">
        <f t="shared" si="1"/>
        <v>5.1763582106922517</v>
      </c>
      <c r="R19" s="164">
        <f t="shared" si="1"/>
        <v>5.1276175123697483</v>
      </c>
      <c r="S19" s="97">
        <f t="shared" si="1"/>
        <v>5.2030500936707531</v>
      </c>
      <c r="T19" s="175">
        <f t="shared" si="1"/>
        <v>4.9825067046149529</v>
      </c>
      <c r="U19" s="164">
        <f t="shared" si="1"/>
        <v>4.9604879467653493</v>
      </c>
      <c r="V19" s="164">
        <f t="shared" si="1"/>
        <v>4.9141188764539914</v>
      </c>
      <c r="W19" s="97">
        <f t="shared" si="1"/>
        <v>4.98795731087076</v>
      </c>
    </row>
    <row r="20" spans="2:27" ht="18" customHeight="1" x14ac:dyDescent="0.25">
      <c r="B20" s="3" t="s">
        <v>1</v>
      </c>
      <c r="C20" s="7" t="s">
        <v>28</v>
      </c>
      <c r="D20" s="63">
        <v>0.7</v>
      </c>
      <c r="F20" s="24">
        <v>30</v>
      </c>
      <c r="G20" s="25">
        <f>0.8*(60-$F20)/30</f>
        <v>0.8</v>
      </c>
      <c r="J20" s="203"/>
      <c r="K20" s="128">
        <v>90</v>
      </c>
      <c r="L20" s="163">
        <f t="shared" si="1"/>
        <v>5.1132598285449413</v>
      </c>
      <c r="M20" s="164">
        <f t="shared" si="1"/>
        <v>5.094349241371015</v>
      </c>
      <c r="N20" s="164">
        <f t="shared" si="1"/>
        <v>5.0543471783059477</v>
      </c>
      <c r="O20" s="171">
        <f t="shared" si="1"/>
        <v>5.1656624365682209</v>
      </c>
      <c r="P20" s="163">
        <f t="shared" si="1"/>
        <v>4.8670940342888596</v>
      </c>
      <c r="Q20" s="164">
        <f t="shared" si="1"/>
        <v>4.8492920238142805</v>
      </c>
      <c r="R20" s="164">
        <f t="shared" si="1"/>
        <v>4.8116254331676824</v>
      </c>
      <c r="S20" s="97">
        <f t="shared" si="1"/>
        <v>4.9195355025877996</v>
      </c>
      <c r="T20" s="175">
        <f t="shared" si="1"/>
        <v>4.6623865867290846</v>
      </c>
      <c r="U20" s="164">
        <f t="shared" si="1"/>
        <v>4.6454772566926952</v>
      </c>
      <c r="V20" s="164">
        <f t="shared" si="1"/>
        <v>4.6096925887785511</v>
      </c>
      <c r="W20" s="97">
        <f t="shared" si="1"/>
        <v>4.7144861417981616</v>
      </c>
    </row>
    <row r="21" spans="2:27" ht="18" hidden="1" customHeight="1" thickBot="1" x14ac:dyDescent="0.3">
      <c r="B21" s="16" t="s">
        <v>21</v>
      </c>
      <c r="C21" s="12"/>
      <c r="D21" s="46">
        <v>200</v>
      </c>
      <c r="F21" s="24">
        <v>31</v>
      </c>
      <c r="G21" s="25">
        <f t="shared" ref="G21:G25" si="2">0.8*(60-$F21)/30</f>
        <v>0.77333333333333343</v>
      </c>
      <c r="J21" s="202"/>
      <c r="K21" s="129">
        <v>140</v>
      </c>
      <c r="L21" s="167">
        <f t="shared" si="1"/>
        <v>4.6180939497043303</v>
      </c>
      <c r="M21" s="168">
        <f t="shared" si="1"/>
        <v>4.6054870174427744</v>
      </c>
      <c r="N21" s="168">
        <f t="shared" si="1"/>
        <v>4.5786578996194116</v>
      </c>
      <c r="O21" s="172">
        <f t="shared" si="1"/>
        <v>4.7245331648860969</v>
      </c>
      <c r="P21" s="167">
        <f t="shared" si="1"/>
        <v>4.3933969655229994</v>
      </c>
      <c r="Q21" s="168">
        <f t="shared" si="1"/>
        <v>4.3815547986159347</v>
      </c>
      <c r="R21" s="168">
        <f t="shared" si="1"/>
        <v>4.3563477744889374</v>
      </c>
      <c r="S21" s="99">
        <f t="shared" si="1"/>
        <v>4.4967067598344004</v>
      </c>
      <c r="T21" s="176">
        <f t="shared" si="1"/>
        <v>4.2068952412180094</v>
      </c>
      <c r="U21" s="168">
        <f t="shared" si="1"/>
        <v>4.1956653611158599</v>
      </c>
      <c r="V21" s="168">
        <f t="shared" si="1"/>
        <v>4.1717577510574548</v>
      </c>
      <c r="W21" s="99">
        <f t="shared" si="1"/>
        <v>4.3073054013897076</v>
      </c>
    </row>
    <row r="22" spans="2:27" ht="18" customHeight="1" thickBot="1" x14ac:dyDescent="0.3">
      <c r="B22" s="10" t="s">
        <v>35</v>
      </c>
      <c r="C22" s="47" t="s">
        <v>33</v>
      </c>
      <c r="D22" s="45">
        <v>10</v>
      </c>
      <c r="F22" s="26">
        <v>32</v>
      </c>
      <c r="G22" s="25">
        <f t="shared" si="2"/>
        <v>0.7466666666666667</v>
      </c>
      <c r="J22" s="33" t="s">
        <v>51</v>
      </c>
    </row>
    <row r="23" spans="2:27" ht="18" customHeight="1" x14ac:dyDescent="0.25">
      <c r="F23" s="26">
        <v>33</v>
      </c>
      <c r="G23" s="25">
        <f t="shared" si="2"/>
        <v>0.72000000000000008</v>
      </c>
      <c r="J23" s="200" t="s">
        <v>26</v>
      </c>
      <c r="K23" s="127">
        <v>45</v>
      </c>
      <c r="L23" s="165">
        <f>1.09*((($D$10*$D$11*10000/($D$21*$D$12*((L$15*(((VLOOKUP(L$16,$F$15:$G$25,2))*$K17))+((L$15-0.037)*($D$16/COS(L$16*PI()/180))))+(($D$7+$D$8)/COS(L$16*PI()/180)))))^(1/3))/100)</f>
        <v>6.1129986515616723</v>
      </c>
      <c r="M23" s="166">
        <f t="shared" ref="M23:W23" si="3">1.09*((($D$10*$D$11*10000/($D$21*$D$12*((M$15*(((VLOOKUP(M$16,$F$15:$G$25,2))*$K17))+((M$15-0.037)*($D$16/COS(M$16*PI()/180))))+(($D$7+$D$8)/COS(M$16*PI()/180)))))^(1/3))/100)</f>
        <v>6.0792182945482205</v>
      </c>
      <c r="N23" s="166">
        <f t="shared" si="3"/>
        <v>6.0085650992006148</v>
      </c>
      <c r="O23" s="177">
        <f t="shared" si="3"/>
        <v>6.0372749757977644</v>
      </c>
      <c r="P23" s="165">
        <f t="shared" si="3"/>
        <v>5.8294106515995558</v>
      </c>
      <c r="Q23" s="166">
        <f t="shared" si="3"/>
        <v>5.7975218945504547</v>
      </c>
      <c r="R23" s="166">
        <f t="shared" si="3"/>
        <v>5.730802198611137</v>
      </c>
      <c r="S23" s="93">
        <f t="shared" si="3"/>
        <v>5.7610602564884541</v>
      </c>
      <c r="T23" s="178">
        <f t="shared" si="3"/>
        <v>5.5920554979033703</v>
      </c>
      <c r="U23" s="166">
        <f t="shared" si="3"/>
        <v>5.5617034883203411</v>
      </c>
      <c r="V23" s="166">
        <f t="shared" si="3"/>
        <v>5.4981823975624504</v>
      </c>
      <c r="W23" s="93">
        <f t="shared" si="3"/>
        <v>5.5293296803285843</v>
      </c>
    </row>
    <row r="24" spans="2:27" ht="18" customHeight="1" x14ac:dyDescent="0.35">
      <c r="B24" s="1" t="s">
        <v>13</v>
      </c>
      <c r="C24" s="37" t="s">
        <v>30</v>
      </c>
      <c r="D24" s="36" t="s">
        <v>29</v>
      </c>
      <c r="F24" s="26">
        <v>34</v>
      </c>
      <c r="G24" s="31">
        <f t="shared" si="2"/>
        <v>0.69333333333333336</v>
      </c>
      <c r="J24" s="201"/>
      <c r="K24" s="128">
        <v>55</v>
      </c>
      <c r="L24" s="163">
        <f t="shared" ref="L24:W27" si="4">1.09*((($D$10*$D$11*10000/($D$21*$D$12*((L$15*(((VLOOKUP(L$16,$F$15:$G$25,2))*$K18))+((L$15-0.037)*($D$16/COS(L$16*PI()/180))))+(($D$7+$D$8)/COS(L$16*PI()/180)))))^(1/3))/100)</f>
        <v>5.9158432195145076</v>
      </c>
      <c r="M24" s="164">
        <f t="shared" si="4"/>
        <v>5.8861838507441613</v>
      </c>
      <c r="N24" s="164">
        <f t="shared" si="4"/>
        <v>5.8239535822399136</v>
      </c>
      <c r="O24" s="171">
        <f t="shared" si="4"/>
        <v>5.8789946154095745</v>
      </c>
      <c r="P24" s="163">
        <f t="shared" si="4"/>
        <v>5.6393396177973045</v>
      </c>
      <c r="Q24" s="164">
        <f t="shared" si="4"/>
        <v>5.6113819820035662</v>
      </c>
      <c r="R24" s="164">
        <f t="shared" si="4"/>
        <v>5.5527019667283151</v>
      </c>
      <c r="S24" s="97">
        <f t="shared" si="4"/>
        <v>5.6080529697490382</v>
      </c>
      <c r="T24" s="175">
        <f t="shared" si="4"/>
        <v>5.4082114149934029</v>
      </c>
      <c r="U24" s="164">
        <f t="shared" si="4"/>
        <v>5.3816308174493335</v>
      </c>
      <c r="V24" s="164">
        <f t="shared" si="4"/>
        <v>5.3258263236099967</v>
      </c>
      <c r="W24" s="97">
        <f t="shared" si="4"/>
        <v>5.3810272543092887</v>
      </c>
    </row>
    <row r="25" spans="2:27" ht="18" hidden="1" customHeight="1" x14ac:dyDescent="0.25">
      <c r="B25" s="18" t="s">
        <v>11</v>
      </c>
      <c r="C25" s="19">
        <f>($D$20*($D$19*$G$26))+(($D$20-0.037)*($D$16/COS($D$22*PI()/180)))+($D$7/COS($D$22*PI()/180))</f>
        <v>52.984102954417757</v>
      </c>
      <c r="D25" s="38">
        <f>($D$20*($D$19*$G$26))+(($D$20-0.037)*($D$16/COS($D$22*PI()/180)))+(($D$7+$D$8)/COS($D$22*PI()/180))</f>
        <v>53.885801785772294</v>
      </c>
      <c r="F25" s="27">
        <v>35</v>
      </c>
      <c r="G25" s="32">
        <f t="shared" si="2"/>
        <v>0.66666666666666663</v>
      </c>
      <c r="J25" s="201"/>
      <c r="K25" s="128">
        <v>65</v>
      </c>
      <c r="L25" s="163">
        <f t="shared" si="4"/>
        <v>5.7418884737422919</v>
      </c>
      <c r="M25" s="164">
        <f t="shared" si="4"/>
        <v>5.7155442004523183</v>
      </c>
      <c r="N25" s="164">
        <f t="shared" si="4"/>
        <v>5.6601240246388143</v>
      </c>
      <c r="O25" s="171">
        <f t="shared" si="4"/>
        <v>5.7361071413739175</v>
      </c>
      <c r="P25" s="163">
        <f t="shared" si="4"/>
        <v>5.4718592300280191</v>
      </c>
      <c r="Q25" s="164">
        <f t="shared" si="4"/>
        <v>5.4470565582529726</v>
      </c>
      <c r="R25" s="164">
        <f t="shared" si="4"/>
        <v>5.394861572736664</v>
      </c>
      <c r="S25" s="97">
        <f t="shared" si="4"/>
        <v>5.470105488135907</v>
      </c>
      <c r="T25" s="175">
        <f t="shared" si="4"/>
        <v>5.2463829743014534</v>
      </c>
      <c r="U25" s="164">
        <f t="shared" si="4"/>
        <v>5.2228237537098394</v>
      </c>
      <c r="V25" s="164">
        <f t="shared" si="4"/>
        <v>5.1732325481071797</v>
      </c>
      <c r="W25" s="97">
        <f t="shared" si="4"/>
        <v>5.2474549968198732</v>
      </c>
    </row>
    <row r="26" spans="2:27" ht="18" customHeight="1" x14ac:dyDescent="0.3">
      <c r="B26" s="195" t="s">
        <v>57</v>
      </c>
      <c r="C26" s="95">
        <f>1.13*((($D$9*$D$11*10000/($D$21*$D$12*$C$25))^(1/3))/100)</f>
        <v>5.5335621747614168</v>
      </c>
      <c r="D26" s="95">
        <f>1.09*((($D$10*$D$11*10000/($D$21*$D$12*$D$25))^(1/3))/100)</f>
        <v>5.8175627342721157</v>
      </c>
      <c r="F26" s="21" t="s">
        <v>23</v>
      </c>
      <c r="G26" s="28">
        <f>VLOOKUP($D$22,$F$15:$G25,2)</f>
        <v>0.8</v>
      </c>
      <c r="J26" s="201"/>
      <c r="K26" s="128">
        <v>90</v>
      </c>
      <c r="L26" s="163">
        <f t="shared" si="4"/>
        <v>5.3823024105313104</v>
      </c>
      <c r="M26" s="164">
        <f t="shared" si="4"/>
        <v>5.3619300664276102</v>
      </c>
      <c r="N26" s="164">
        <f t="shared" si="4"/>
        <v>5.3188591193494767</v>
      </c>
      <c r="O26" s="171">
        <f t="shared" si="4"/>
        <v>5.431446959544342</v>
      </c>
      <c r="P26" s="163">
        <f t="shared" si="4"/>
        <v>5.1262659077654718</v>
      </c>
      <c r="Q26" s="164">
        <f t="shared" si="4"/>
        <v>5.1071294382698236</v>
      </c>
      <c r="R26" s="164">
        <f t="shared" si="4"/>
        <v>5.0666582815548216</v>
      </c>
      <c r="S26" s="97">
        <f t="shared" si="4"/>
        <v>5.1765077952290088</v>
      </c>
      <c r="T26" s="175">
        <f t="shared" si="4"/>
        <v>4.9129005739183791</v>
      </c>
      <c r="U26" s="164">
        <f t="shared" si="4"/>
        <v>4.8947550702424936</v>
      </c>
      <c r="V26" s="164">
        <f t="shared" si="4"/>
        <v>4.8563702391517127</v>
      </c>
      <c r="W26" s="97">
        <f t="shared" si="4"/>
        <v>4.9635609138590251</v>
      </c>
    </row>
    <row r="27" spans="2:27" ht="18" customHeight="1" thickBot="1" x14ac:dyDescent="0.35">
      <c r="B27" s="41"/>
      <c r="C27" s="42"/>
      <c r="D27" s="43"/>
      <c r="F27" s="213" t="s">
        <v>24</v>
      </c>
      <c r="G27" s="213"/>
      <c r="H27" s="213"/>
      <c r="I27" s="55"/>
      <c r="J27" s="202"/>
      <c r="K27" s="98">
        <v>140</v>
      </c>
      <c r="L27" s="167">
        <f t="shared" si="4"/>
        <v>4.8666843553484593</v>
      </c>
      <c r="M27" s="168">
        <f t="shared" si="4"/>
        <v>4.8530398581064702</v>
      </c>
      <c r="N27" s="168">
        <f t="shared" si="4"/>
        <v>4.8240160384940269</v>
      </c>
      <c r="O27" s="172">
        <f t="shared" si="4"/>
        <v>4.9740060138726294</v>
      </c>
      <c r="P27" s="167">
        <f t="shared" si="4"/>
        <v>4.6319710542392452</v>
      </c>
      <c r="Q27" s="168">
        <f t="shared" si="4"/>
        <v>4.6191899006247512</v>
      </c>
      <c r="R27" s="168">
        <f t="shared" si="4"/>
        <v>4.5919950157839295</v>
      </c>
      <c r="S27" s="99">
        <f t="shared" si="4"/>
        <v>4.7368869933627238</v>
      </c>
      <c r="T27" s="176">
        <f t="shared" si="4"/>
        <v>4.4368490749679799</v>
      </c>
      <c r="U27" s="168">
        <f t="shared" si="4"/>
        <v>4.4247553555006478</v>
      </c>
      <c r="V27" s="168">
        <f t="shared" si="4"/>
        <v>4.399017750682745</v>
      </c>
      <c r="W27" s="99">
        <f t="shared" si="4"/>
        <v>4.539360292478781</v>
      </c>
      <c r="X27" s="76"/>
      <c r="Y27" s="76"/>
      <c r="Z27" s="77"/>
      <c r="AA27" s="76"/>
    </row>
    <row r="28" spans="2:27" ht="18" customHeight="1" x14ac:dyDescent="0.25">
      <c r="B28" s="39"/>
      <c r="C28" s="40"/>
      <c r="D28" s="40"/>
      <c r="F28" s="30" t="s">
        <v>25</v>
      </c>
      <c r="J28" s="74"/>
      <c r="K28" s="75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</row>
    <row r="29" spans="2:27" ht="18" customHeight="1" x14ac:dyDescent="0.25">
      <c r="J29" s="208"/>
      <c r="K29" s="79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</row>
    <row r="30" spans="2:27" ht="18" customHeight="1" x14ac:dyDescent="0.25">
      <c r="J30" s="206"/>
      <c r="K30" s="79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2:27" ht="18" customHeight="1" x14ac:dyDescent="0.25">
      <c r="J31" s="206"/>
      <c r="K31" s="79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2:27" ht="18" customHeight="1" x14ac:dyDescent="0.25">
      <c r="J32" s="206"/>
      <c r="K32" s="79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10:27" ht="18" customHeight="1" x14ac:dyDescent="0.25">
      <c r="J33" s="8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0:27" ht="18" customHeight="1" x14ac:dyDescent="0.25">
      <c r="J34" s="208"/>
      <c r="K34" s="79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10:27" ht="18" customHeight="1" x14ac:dyDescent="0.25">
      <c r="J35" s="206"/>
      <c r="K35" s="79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10:27" ht="18" customHeight="1" x14ac:dyDescent="0.25">
      <c r="J36" s="206"/>
      <c r="K36" s="79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10:27" ht="18" customHeight="1" x14ac:dyDescent="0.25">
      <c r="J37" s="206"/>
      <c r="K37" s="79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10:27" ht="18" customHeight="1" x14ac:dyDescent="0.25"/>
    <row r="39" spans="10:27" ht="18" customHeight="1" x14ac:dyDescent="0.25"/>
    <row r="40" spans="10:27" ht="18" customHeight="1" x14ac:dyDescent="0.25"/>
    <row r="41" spans="10:27" ht="18" customHeight="1" x14ac:dyDescent="0.25"/>
    <row r="42" spans="10:27" ht="18" customHeight="1" x14ac:dyDescent="0.25"/>
    <row r="43" spans="10:27" ht="18" customHeight="1" x14ac:dyDescent="0.25"/>
    <row r="44" spans="10:27" ht="18" customHeight="1" x14ac:dyDescent="0.25"/>
    <row r="45" spans="10:27" ht="18" customHeight="1" x14ac:dyDescent="0.25"/>
    <row r="46" spans="10:27" ht="18" customHeight="1" x14ac:dyDescent="0.25"/>
    <row r="47" spans="10:27" ht="18" customHeight="1" x14ac:dyDescent="0.25"/>
  </sheetData>
  <sheetProtection algorithmName="SHA-512" hashValue="d3Uo+8nYXF9gTnP3Lkn4f+13zRWQjgAiSQPXqp/ZyoZ5vkM0IsL/zsq/m1jLCaH7Uy2yZAzbCJTXcHq4lu1VWQ==" saltValue="SJErusLhOc/BwipgAwBgZQ==" spinCount="100000" sheet="1" objects="1" scenarios="1"/>
  <mergeCells count="9">
    <mergeCell ref="F27:H27"/>
    <mergeCell ref="J29:J32"/>
    <mergeCell ref="J34:J37"/>
    <mergeCell ref="B1:D1"/>
    <mergeCell ref="B2:D2"/>
    <mergeCell ref="J15:K15"/>
    <mergeCell ref="J16:K16"/>
    <mergeCell ref="J17:J21"/>
    <mergeCell ref="J23:J27"/>
  </mergeCells>
  <pageMargins left="0.39370078740157483" right="0" top="0.39370078740157483" bottom="0" header="0" footer="0"/>
  <pageSetup paperSize="9" scale="71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EFF0A-C4E5-4C0B-8424-93E2AB1D5FD5}">
  <sheetPr>
    <pageSetUpPr fitToPage="1"/>
  </sheetPr>
  <dimension ref="B1:AK48"/>
  <sheetViews>
    <sheetView workbookViewId="0">
      <selection activeCell="AM35" sqref="AM35"/>
    </sheetView>
  </sheetViews>
  <sheetFormatPr baseColWidth="10" defaultRowHeight="12.6" x14ac:dyDescent="0.25"/>
  <cols>
    <col min="1" max="1" width="1.6640625" customWidth="1"/>
    <col min="2" max="2" width="46.44140625" bestFit="1" customWidth="1"/>
    <col min="3" max="3" width="14.6640625" customWidth="1"/>
    <col min="4" max="4" width="17.44140625" customWidth="1"/>
    <col min="5" max="5" width="1.6640625" customWidth="1"/>
    <col min="6" max="7" width="10.77734375" hidden="1" customWidth="1"/>
    <col min="8" max="8" width="12.77734375" hidden="1" customWidth="1"/>
    <col min="9" max="11" width="5.77734375" hidden="1" customWidth="1"/>
    <col min="12" max="25" width="6.77734375" hidden="1" customWidth="1"/>
    <col min="26" max="37" width="6.6640625" hidden="1" customWidth="1"/>
  </cols>
  <sheetData>
    <row r="1" spans="2:37" ht="12.9" customHeight="1" x14ac:dyDescent="0.25">
      <c r="B1" s="219" t="s">
        <v>58</v>
      </c>
      <c r="C1" s="212"/>
      <c r="D1" s="212"/>
    </row>
    <row r="2" spans="2:37" ht="15.6" x14ac:dyDescent="0.25">
      <c r="B2" s="209" t="s">
        <v>55</v>
      </c>
      <c r="C2" s="210"/>
      <c r="D2" s="210"/>
      <c r="E2" s="15"/>
      <c r="F2" s="15"/>
      <c r="G2" s="15"/>
      <c r="H2" s="15"/>
      <c r="I2" s="15"/>
    </row>
    <row r="3" spans="2:37" ht="15.6" x14ac:dyDescent="0.3">
      <c r="B3" s="20" t="s">
        <v>19</v>
      </c>
      <c r="C3" s="64"/>
      <c r="D3" s="64"/>
      <c r="E3" s="15"/>
      <c r="F3" s="15"/>
      <c r="G3" s="15"/>
      <c r="H3" s="15"/>
      <c r="I3" s="15"/>
    </row>
    <row r="4" spans="2:37" ht="4.95" customHeight="1" x14ac:dyDescent="0.25"/>
    <row r="5" spans="2:37" ht="18" hidden="1" customHeight="1" x14ac:dyDescent="0.3">
      <c r="B5" s="1" t="s">
        <v>4</v>
      </c>
    </row>
    <row r="6" spans="2:37" ht="18" hidden="1" customHeight="1" x14ac:dyDescent="0.25">
      <c r="B6" s="9" t="s">
        <v>2</v>
      </c>
      <c r="C6" s="6" t="s">
        <v>3</v>
      </c>
    </row>
    <row r="7" spans="2:37" ht="18" hidden="1" customHeight="1" x14ac:dyDescent="0.25">
      <c r="B7" s="3" t="s">
        <v>20</v>
      </c>
      <c r="C7" s="7" t="s">
        <v>17</v>
      </c>
      <c r="D7" s="48">
        <v>3.8029999999999999</v>
      </c>
      <c r="F7" s="13"/>
      <c r="G7" s="14"/>
      <c r="H7" s="14"/>
      <c r="I7" s="14"/>
    </row>
    <row r="8" spans="2:37" ht="18" hidden="1" customHeight="1" x14ac:dyDescent="0.25">
      <c r="B8" s="35" t="s">
        <v>31</v>
      </c>
      <c r="C8" s="7" t="s">
        <v>17</v>
      </c>
      <c r="D8" s="48">
        <v>0.88800000000000001</v>
      </c>
      <c r="F8" s="13"/>
      <c r="G8" s="14"/>
      <c r="H8" s="14"/>
      <c r="I8" s="14"/>
    </row>
    <row r="9" spans="2:37" ht="18" hidden="1" customHeight="1" x14ac:dyDescent="0.25">
      <c r="B9" s="3" t="s">
        <v>16</v>
      </c>
      <c r="C9" s="7" t="s">
        <v>8</v>
      </c>
      <c r="D9" s="49">
        <v>138.69999999999999</v>
      </c>
    </row>
    <row r="10" spans="2:37" ht="18" hidden="1" customHeight="1" x14ac:dyDescent="0.25">
      <c r="B10" s="18" t="s">
        <v>32</v>
      </c>
      <c r="C10" s="7" t="s">
        <v>8</v>
      </c>
      <c r="D10" s="50">
        <v>189.8</v>
      </c>
    </row>
    <row r="11" spans="2:37" ht="18" hidden="1" customHeight="1" x14ac:dyDescent="0.25">
      <c r="B11" s="5" t="s">
        <v>5</v>
      </c>
      <c r="C11" s="4" t="s">
        <v>12</v>
      </c>
      <c r="D11" s="50">
        <v>7000</v>
      </c>
    </row>
    <row r="12" spans="2:37" ht="18" hidden="1" customHeight="1" x14ac:dyDescent="0.25">
      <c r="B12" s="5" t="s">
        <v>10</v>
      </c>
      <c r="C12" s="2" t="s">
        <v>9</v>
      </c>
      <c r="D12" s="50">
        <v>1.2999999999999999E-2</v>
      </c>
    </row>
    <row r="13" spans="2:37" ht="18" hidden="1" customHeight="1" x14ac:dyDescent="0.25">
      <c r="F13" s="29"/>
      <c r="G13" s="29"/>
    </row>
    <row r="14" spans="2:37" ht="18" customHeight="1" thickBot="1" x14ac:dyDescent="0.35">
      <c r="B14" s="1" t="s">
        <v>0</v>
      </c>
      <c r="F14" s="21" t="s">
        <v>6</v>
      </c>
      <c r="G14" s="21" t="s">
        <v>7</v>
      </c>
      <c r="J14" s="51" t="s">
        <v>38</v>
      </c>
      <c r="X14" s="134" t="s">
        <v>11</v>
      </c>
    </row>
    <row r="15" spans="2:37" ht="18" customHeight="1" x14ac:dyDescent="0.25">
      <c r="B15" s="8" t="s">
        <v>2</v>
      </c>
      <c r="C15" s="11" t="s">
        <v>3</v>
      </c>
      <c r="D15" s="53" t="s">
        <v>18</v>
      </c>
      <c r="F15" s="22">
        <v>5</v>
      </c>
      <c r="G15" s="23">
        <v>0.8</v>
      </c>
      <c r="J15" s="214" t="s">
        <v>27</v>
      </c>
      <c r="K15" s="205"/>
      <c r="L15" s="84">
        <v>1.1000000000000001</v>
      </c>
      <c r="M15" s="85">
        <v>1.1000000000000001</v>
      </c>
      <c r="N15" s="86">
        <v>1.1000000000000001</v>
      </c>
      <c r="O15" s="87">
        <v>1.1000000000000001</v>
      </c>
      <c r="P15" s="84">
        <v>1.2</v>
      </c>
      <c r="Q15" s="85">
        <v>1.2</v>
      </c>
      <c r="R15" s="86">
        <v>1.2</v>
      </c>
      <c r="S15" s="87">
        <v>1.2</v>
      </c>
      <c r="T15" s="84">
        <v>1.3</v>
      </c>
      <c r="U15" s="85">
        <v>1.3</v>
      </c>
      <c r="V15" s="90">
        <v>1.3</v>
      </c>
      <c r="W15" s="87">
        <v>1.3</v>
      </c>
      <c r="X15" s="204" t="s">
        <v>27</v>
      </c>
      <c r="Y15" s="205"/>
      <c r="Z15" s="84">
        <v>1.1000000000000001</v>
      </c>
      <c r="AA15" s="85">
        <v>1.1000000000000001</v>
      </c>
      <c r="AB15" s="86">
        <v>1.1000000000000001</v>
      </c>
      <c r="AC15" s="87">
        <v>1.1000000000000001</v>
      </c>
      <c r="AD15" s="84">
        <v>1.2</v>
      </c>
      <c r="AE15" s="85">
        <v>1.2</v>
      </c>
      <c r="AF15" s="86">
        <v>1.2</v>
      </c>
      <c r="AG15" s="87">
        <v>1.2</v>
      </c>
      <c r="AH15" s="84">
        <v>1.3</v>
      </c>
      <c r="AI15" s="85">
        <v>1.3</v>
      </c>
      <c r="AJ15" s="90">
        <v>1.3</v>
      </c>
      <c r="AK15" s="87">
        <v>1.3</v>
      </c>
    </row>
    <row r="16" spans="2:37" ht="18" customHeight="1" x14ac:dyDescent="0.25">
      <c r="B16" s="3" t="s">
        <v>14</v>
      </c>
      <c r="C16" s="7" t="s">
        <v>22</v>
      </c>
      <c r="D16" s="44">
        <v>5</v>
      </c>
      <c r="F16" s="24">
        <v>10</v>
      </c>
      <c r="G16" s="25">
        <v>0.8</v>
      </c>
      <c r="J16" s="214" t="s">
        <v>6</v>
      </c>
      <c r="K16" s="205"/>
      <c r="L16" s="115">
        <v>5</v>
      </c>
      <c r="M16" s="116">
        <v>15</v>
      </c>
      <c r="N16" s="116">
        <v>25</v>
      </c>
      <c r="O16" s="117">
        <v>35</v>
      </c>
      <c r="P16" s="115">
        <v>5</v>
      </c>
      <c r="Q16" s="116">
        <v>15</v>
      </c>
      <c r="R16" s="116">
        <v>25</v>
      </c>
      <c r="S16" s="117">
        <v>35</v>
      </c>
      <c r="T16" s="115">
        <v>5</v>
      </c>
      <c r="U16" s="116">
        <v>15</v>
      </c>
      <c r="V16" s="116">
        <v>25</v>
      </c>
      <c r="W16" s="117">
        <v>35</v>
      </c>
      <c r="X16" s="204" t="s">
        <v>6</v>
      </c>
      <c r="Y16" s="205"/>
      <c r="Z16" s="88">
        <v>5</v>
      </c>
      <c r="AA16" s="34">
        <v>15</v>
      </c>
      <c r="AB16" s="34">
        <v>25</v>
      </c>
      <c r="AC16" s="89">
        <v>35</v>
      </c>
      <c r="AD16" s="88">
        <v>5</v>
      </c>
      <c r="AE16" s="34">
        <v>15</v>
      </c>
      <c r="AF16" s="34">
        <v>25</v>
      </c>
      <c r="AG16" s="89">
        <v>35</v>
      </c>
      <c r="AH16" s="88">
        <v>5</v>
      </c>
      <c r="AI16" s="34">
        <v>15</v>
      </c>
      <c r="AJ16" s="34">
        <v>25</v>
      </c>
      <c r="AK16" s="89">
        <v>35</v>
      </c>
    </row>
    <row r="17" spans="2:37" ht="18" hidden="1" customHeight="1" x14ac:dyDescent="0.25">
      <c r="B17" s="43"/>
      <c r="C17" s="58"/>
      <c r="D17" s="59"/>
      <c r="F17" s="24">
        <v>15</v>
      </c>
      <c r="G17" s="25">
        <v>0.8</v>
      </c>
      <c r="J17" s="200" t="s">
        <v>26</v>
      </c>
      <c r="K17" s="127">
        <v>45</v>
      </c>
      <c r="L17" s="130">
        <f>1.11*(((($D$9*$D$11*10000)/($D$21*$D$12*Z17))^(1/3))/100)</f>
        <v>4.7140055382104</v>
      </c>
      <c r="M17" s="131">
        <f t="shared" ref="M17:W21" si="0">1.11*(((($D$9*$D$11*10000)/($D$21*$D$12*AA17))^(1/3))/100)</f>
        <v>4.7047972707360328</v>
      </c>
      <c r="N17" s="131">
        <f t="shared" si="0"/>
        <v>4.6851055133146753</v>
      </c>
      <c r="O17" s="132">
        <f t="shared" si="0"/>
        <v>4.8731378769880349</v>
      </c>
      <c r="P17" s="130">
        <f>1.11*(((($D$9*$D$11*10000)/($D$21*$D$12*AD17))^(1/3))/100)</f>
        <v>4.5887604347097568</v>
      </c>
      <c r="Q17" s="131">
        <f t="shared" si="0"/>
        <v>4.5800381532618797</v>
      </c>
      <c r="R17" s="131">
        <f t="shared" si="0"/>
        <v>4.5613795202225793</v>
      </c>
      <c r="S17" s="132">
        <f t="shared" si="0"/>
        <v>4.7470624966649817</v>
      </c>
      <c r="T17" s="130">
        <f t="shared" si="0"/>
        <v>4.4758468671867258</v>
      </c>
      <c r="U17" s="131">
        <f t="shared" si="0"/>
        <v>4.4675407406368466</v>
      </c>
      <c r="V17" s="131">
        <f t="shared" si="0"/>
        <v>4.4497673257715968</v>
      </c>
      <c r="W17" s="132">
        <f t="shared" si="0"/>
        <v>4.6330979341436791</v>
      </c>
      <c r="X17" s="197" t="s">
        <v>26</v>
      </c>
      <c r="Y17" s="91">
        <v>45</v>
      </c>
      <c r="Z17" s="140">
        <f>(Z$15*$Y17*(VLOOKUP(Z$16,$F$15:$G$25,2)))+((Z$15-0.037)*($D$16/COS(Z$16*PI()/180)))+($D$7/COS(Z$16*PI()/180))</f>
        <v>48.752829278720249</v>
      </c>
      <c r="AA17" s="141">
        <f t="shared" ref="AA17:AK17" si="1">(AA$15*$Y17*(VLOOKUP(AA$16,$F$15:$G$25,2)))+((AA$15-0.037)*($D$16/COS(AA$16*PI()/180)))+($D$7/COS(AA$16*PI()/180))</f>
        <v>49.039648212979152</v>
      </c>
      <c r="AB17" s="141">
        <f t="shared" si="1"/>
        <v>49.660599865100011</v>
      </c>
      <c r="AC17" s="142">
        <f t="shared" si="1"/>
        <v>44.131022700326959</v>
      </c>
      <c r="AD17" s="140">
        <f>(AD$15*$Y17*(VLOOKUP(AD$16,$F$15:$G$25,2)))+((AD$15-0.037)*($D$16/COS(AD$16*PI()/180)))+($D$7/COS(AD$16*PI()/180))</f>
        <v>52.854739197491917</v>
      </c>
      <c r="AE17" s="141">
        <f t="shared" si="1"/>
        <v>53.157286303184186</v>
      </c>
      <c r="AF17" s="141">
        <f t="shared" si="1"/>
        <v>53.812288824581245</v>
      </c>
      <c r="AG17" s="142">
        <f t="shared" si="1"/>
        <v>47.741409994707688</v>
      </c>
      <c r="AH17" s="140">
        <f t="shared" si="1"/>
        <v>56.956649116263598</v>
      </c>
      <c r="AI17" s="141">
        <f t="shared" si="1"/>
        <v>57.274924393389227</v>
      </c>
      <c r="AJ17" s="141">
        <f t="shared" si="1"/>
        <v>57.963977784062493</v>
      </c>
      <c r="AK17" s="142">
        <f t="shared" si="1"/>
        <v>51.351797289088417</v>
      </c>
    </row>
    <row r="18" spans="2:37" ht="18" hidden="1" customHeight="1" x14ac:dyDescent="0.25">
      <c r="B18" s="60"/>
      <c r="C18" s="61"/>
      <c r="D18" s="62"/>
      <c r="F18" s="24">
        <v>20</v>
      </c>
      <c r="G18" s="25">
        <v>0.8</v>
      </c>
      <c r="J18" s="203"/>
      <c r="K18" s="128">
        <v>55</v>
      </c>
      <c r="L18" s="130">
        <f t="shared" ref="L18:L21" si="2">1.11*(((($D$9*$D$11*10000)/($D$21*$D$12*Z18))^(1/3))/100)</f>
        <v>4.4603383427277068</v>
      </c>
      <c r="M18" s="131">
        <f t="shared" si="0"/>
        <v>4.4529533855517256</v>
      </c>
      <c r="N18" s="131">
        <f t="shared" si="0"/>
        <v>4.4371312371223217</v>
      </c>
      <c r="O18" s="132">
        <f t="shared" si="0"/>
        <v>4.6297177542736385</v>
      </c>
      <c r="P18" s="130">
        <f t="shared" si="0"/>
        <v>4.3404513898607977</v>
      </c>
      <c r="Q18" s="131">
        <f t="shared" si="0"/>
        <v>4.3334651788529319</v>
      </c>
      <c r="R18" s="131">
        <f t="shared" si="0"/>
        <v>4.3184930017318193</v>
      </c>
      <c r="S18" s="132">
        <f t="shared" si="0"/>
        <v>4.5081398465301694</v>
      </c>
      <c r="T18" s="130">
        <f t="shared" si="0"/>
        <v>4.2324958273806086</v>
      </c>
      <c r="U18" s="131">
        <f t="shared" si="0"/>
        <v>4.2258502535480984</v>
      </c>
      <c r="V18" s="131">
        <f t="shared" si="0"/>
        <v>4.2116045709829031</v>
      </c>
      <c r="W18" s="132">
        <f t="shared" si="0"/>
        <v>4.3984035297919659</v>
      </c>
      <c r="X18" s="206"/>
      <c r="Y18" s="83">
        <v>55</v>
      </c>
      <c r="Z18" s="143">
        <f t="shared" ref="Z18:AK21" si="3">(Z$15*$Y18*(VLOOKUP(Z$16,$F$15:$G$25,2)))+((Z$15-0.037)*($D$16/COS(Z$16*PI()/180)))+($D$7/COS(Z$16*PI()/180))</f>
        <v>57.552829278720246</v>
      </c>
      <c r="AA18" s="144">
        <f t="shared" si="3"/>
        <v>57.839648212979149</v>
      </c>
      <c r="AB18" s="144">
        <f t="shared" si="3"/>
        <v>58.460599865100008</v>
      </c>
      <c r="AC18" s="145">
        <f t="shared" si="3"/>
        <v>51.464356033660295</v>
      </c>
      <c r="AD18" s="143">
        <f t="shared" si="3"/>
        <v>62.454739197491918</v>
      </c>
      <c r="AE18" s="144">
        <f t="shared" si="3"/>
        <v>62.757286303184188</v>
      </c>
      <c r="AF18" s="144">
        <f t="shared" si="3"/>
        <v>63.412288824581253</v>
      </c>
      <c r="AG18" s="145">
        <f t="shared" si="3"/>
        <v>55.741409994707688</v>
      </c>
      <c r="AH18" s="143">
        <f t="shared" si="3"/>
        <v>67.356649116263583</v>
      </c>
      <c r="AI18" s="144">
        <f t="shared" si="3"/>
        <v>67.674924393389219</v>
      </c>
      <c r="AJ18" s="144">
        <f t="shared" si="3"/>
        <v>68.363977784062499</v>
      </c>
      <c r="AK18" s="145">
        <f t="shared" si="3"/>
        <v>60.018463955755081</v>
      </c>
    </row>
    <row r="19" spans="2:37" ht="18" customHeight="1" x14ac:dyDescent="0.25">
      <c r="B19" s="3" t="s">
        <v>15</v>
      </c>
      <c r="C19" s="7" t="s">
        <v>22</v>
      </c>
      <c r="D19" s="45">
        <v>45</v>
      </c>
      <c r="F19" s="24">
        <v>25</v>
      </c>
      <c r="G19" s="25">
        <v>0.8</v>
      </c>
      <c r="J19" s="203"/>
      <c r="K19" s="128">
        <v>65</v>
      </c>
      <c r="L19" s="130">
        <f t="shared" si="2"/>
        <v>4.2537328832541146</v>
      </c>
      <c r="M19" s="131">
        <f t="shared" si="0"/>
        <v>4.2476213778635525</v>
      </c>
      <c r="N19" s="131">
        <f t="shared" si="0"/>
        <v>4.2345095605288021</v>
      </c>
      <c r="O19" s="132">
        <f t="shared" si="0"/>
        <v>4.4286355641581583</v>
      </c>
      <c r="P19" s="130">
        <f t="shared" si="0"/>
        <v>4.1384322167449277</v>
      </c>
      <c r="Q19" s="131">
        <f t="shared" si="0"/>
        <v>4.1326561578275998</v>
      </c>
      <c r="R19" s="131">
        <f t="shared" si="0"/>
        <v>4.1202608223664594</v>
      </c>
      <c r="S19" s="132">
        <f t="shared" si="0"/>
        <v>4.3110474977702857</v>
      </c>
      <c r="T19" s="130">
        <f t="shared" si="0"/>
        <v>4.0346963085013146</v>
      </c>
      <c r="U19" s="131">
        <f t="shared" si="0"/>
        <v>4.0292063127835673</v>
      </c>
      <c r="V19" s="131">
        <f t="shared" si="0"/>
        <v>4.0174222712345582</v>
      </c>
      <c r="W19" s="132">
        <f t="shared" si="0"/>
        <v>4.2050302109377755</v>
      </c>
      <c r="X19" s="206"/>
      <c r="Y19" s="83">
        <v>65</v>
      </c>
      <c r="Z19" s="143">
        <f t="shared" si="3"/>
        <v>66.352829278720236</v>
      </c>
      <c r="AA19" s="144">
        <f t="shared" si="3"/>
        <v>66.639648212979139</v>
      </c>
      <c r="AB19" s="144">
        <f t="shared" si="3"/>
        <v>67.260599865100005</v>
      </c>
      <c r="AC19" s="145">
        <f t="shared" si="3"/>
        <v>58.797689366993623</v>
      </c>
      <c r="AD19" s="143">
        <f t="shared" si="3"/>
        <v>72.054739197491912</v>
      </c>
      <c r="AE19" s="144">
        <f t="shared" si="3"/>
        <v>72.357286303184182</v>
      </c>
      <c r="AF19" s="144">
        <f t="shared" si="3"/>
        <v>73.012288824581262</v>
      </c>
      <c r="AG19" s="145">
        <f t="shared" si="3"/>
        <v>63.741409994707688</v>
      </c>
      <c r="AH19" s="143">
        <f t="shared" si="3"/>
        <v>77.756649116263588</v>
      </c>
      <c r="AI19" s="144">
        <f t="shared" si="3"/>
        <v>78.074924393389225</v>
      </c>
      <c r="AJ19" s="144">
        <f t="shared" si="3"/>
        <v>78.763977784062504</v>
      </c>
      <c r="AK19" s="145">
        <f t="shared" si="3"/>
        <v>68.685130622421738</v>
      </c>
    </row>
    <row r="20" spans="2:37" ht="18" customHeight="1" x14ac:dyDescent="0.25">
      <c r="B20" s="3" t="s">
        <v>1</v>
      </c>
      <c r="C20" s="7" t="s">
        <v>28</v>
      </c>
      <c r="D20" s="63">
        <v>1.2</v>
      </c>
      <c r="F20" s="24">
        <v>30</v>
      </c>
      <c r="G20" s="25">
        <f>0.8*(60-$F20)/30</f>
        <v>0.8</v>
      </c>
      <c r="J20" s="203"/>
      <c r="K20" s="128">
        <v>90</v>
      </c>
      <c r="L20" s="130">
        <f t="shared" si="2"/>
        <v>3.8664868968833619</v>
      </c>
      <c r="M20" s="131">
        <f t="shared" si="0"/>
        <v>3.8623120158874107</v>
      </c>
      <c r="N20" s="131">
        <f t="shared" si="0"/>
        <v>3.8533349607041445</v>
      </c>
      <c r="O20" s="132">
        <f t="shared" si="0"/>
        <v>4.0455757111942434</v>
      </c>
      <c r="P20" s="130">
        <f t="shared" si="0"/>
        <v>3.7602532685566228</v>
      </c>
      <c r="Q20" s="131">
        <f t="shared" si="0"/>
        <v>3.7563136027765678</v>
      </c>
      <c r="R20" s="131">
        <f t="shared" si="0"/>
        <v>3.7478406106873829</v>
      </c>
      <c r="S20" s="132">
        <f t="shared" si="0"/>
        <v>3.9361950133316297</v>
      </c>
      <c r="T20" s="130">
        <f t="shared" si="0"/>
        <v>3.6648093264629047</v>
      </c>
      <c r="U20" s="131">
        <f t="shared" si="0"/>
        <v>3.6610696832623275</v>
      </c>
      <c r="V20" s="131">
        <f t="shared" si="0"/>
        <v>3.6530254949969994</v>
      </c>
      <c r="W20" s="132">
        <f t="shared" si="0"/>
        <v>3.8377595801138096</v>
      </c>
      <c r="X20" s="206"/>
      <c r="Y20" s="83">
        <v>90</v>
      </c>
      <c r="Z20" s="143">
        <f t="shared" si="3"/>
        <v>88.35282927872025</v>
      </c>
      <c r="AA20" s="144">
        <f t="shared" si="3"/>
        <v>88.639648212979154</v>
      </c>
      <c r="AB20" s="144">
        <f t="shared" si="3"/>
        <v>89.260599865100019</v>
      </c>
      <c r="AC20" s="145">
        <f t="shared" si="3"/>
        <v>77.131022700326952</v>
      </c>
      <c r="AD20" s="143">
        <f t="shared" si="3"/>
        <v>96.054739197491912</v>
      </c>
      <c r="AE20" s="144">
        <f t="shared" si="3"/>
        <v>96.357286303184182</v>
      </c>
      <c r="AF20" s="144">
        <f t="shared" si="3"/>
        <v>97.012288824581262</v>
      </c>
      <c r="AG20" s="145">
        <f t="shared" si="3"/>
        <v>83.741409994707681</v>
      </c>
      <c r="AH20" s="143">
        <f t="shared" si="3"/>
        <v>103.75664911626359</v>
      </c>
      <c r="AI20" s="144">
        <f t="shared" si="3"/>
        <v>104.07492439338922</v>
      </c>
      <c r="AJ20" s="144">
        <f t="shared" si="3"/>
        <v>104.7639777840625</v>
      </c>
      <c r="AK20" s="145">
        <f t="shared" si="3"/>
        <v>90.35179728908841</v>
      </c>
    </row>
    <row r="21" spans="2:37" ht="18" hidden="1" customHeight="1" thickBot="1" x14ac:dyDescent="0.3">
      <c r="B21" s="16" t="s">
        <v>21</v>
      </c>
      <c r="C21" s="12"/>
      <c r="D21" s="46">
        <v>200</v>
      </c>
      <c r="F21" s="24">
        <v>31</v>
      </c>
      <c r="G21" s="25">
        <f t="shared" ref="G21:G25" si="4">0.8*(60-$F21)/30</f>
        <v>0.77333333333333343</v>
      </c>
      <c r="J21" s="202"/>
      <c r="K21" s="129">
        <v>140</v>
      </c>
      <c r="L21" s="133">
        <f t="shared" si="2"/>
        <v>3.379187473727518</v>
      </c>
      <c r="M21" s="138">
        <f t="shared" si="0"/>
        <v>3.376750006471906</v>
      </c>
      <c r="N21" s="138">
        <f t="shared" si="0"/>
        <v>3.3714969815531663</v>
      </c>
      <c r="O21" s="139">
        <f t="shared" si="0"/>
        <v>3.5536846130376691</v>
      </c>
      <c r="P21" s="133">
        <f t="shared" si="0"/>
        <v>3.2850918212448006</v>
      </c>
      <c r="Q21" s="138">
        <f t="shared" si="0"/>
        <v>3.2827952273799204</v>
      </c>
      <c r="R21" s="138">
        <f t="shared" si="0"/>
        <v>3.2778451072403008</v>
      </c>
      <c r="S21" s="139">
        <f t="shared" si="0"/>
        <v>3.4558244772524955</v>
      </c>
      <c r="T21" s="133">
        <f t="shared" si="0"/>
        <v>3.2006719566070614</v>
      </c>
      <c r="U21" s="138">
        <f t="shared" si="0"/>
        <v>3.1984948227718317</v>
      </c>
      <c r="V21" s="138">
        <f t="shared" si="0"/>
        <v>3.1938016299435099</v>
      </c>
      <c r="W21" s="139">
        <f t="shared" si="0"/>
        <v>3.3679243530368912</v>
      </c>
      <c r="X21" s="207"/>
      <c r="Y21" s="96">
        <v>140</v>
      </c>
      <c r="Z21" s="146">
        <f t="shared" si="3"/>
        <v>132.35282927872026</v>
      </c>
      <c r="AA21" s="147">
        <f t="shared" si="3"/>
        <v>132.63964821297915</v>
      </c>
      <c r="AB21" s="147">
        <f t="shared" si="3"/>
        <v>133.2605998651</v>
      </c>
      <c r="AC21" s="148">
        <f t="shared" si="3"/>
        <v>113.79768936699361</v>
      </c>
      <c r="AD21" s="146">
        <f t="shared" si="3"/>
        <v>144.05473919749193</v>
      </c>
      <c r="AE21" s="147">
        <f t="shared" si="3"/>
        <v>144.3572863031842</v>
      </c>
      <c r="AF21" s="147">
        <f t="shared" si="3"/>
        <v>145.01228882458125</v>
      </c>
      <c r="AG21" s="148">
        <f t="shared" si="3"/>
        <v>123.74140999470768</v>
      </c>
      <c r="AH21" s="146">
        <f t="shared" si="3"/>
        <v>155.75664911626359</v>
      </c>
      <c r="AI21" s="147">
        <f t="shared" si="3"/>
        <v>156.07492439338924</v>
      </c>
      <c r="AJ21" s="147">
        <f t="shared" si="3"/>
        <v>156.76397778406249</v>
      </c>
      <c r="AK21" s="148">
        <f t="shared" si="3"/>
        <v>133.68513062242175</v>
      </c>
    </row>
    <row r="22" spans="2:37" ht="18" customHeight="1" thickBot="1" x14ac:dyDescent="0.3">
      <c r="B22" s="10" t="s">
        <v>35</v>
      </c>
      <c r="C22" s="47" t="s">
        <v>33</v>
      </c>
      <c r="D22" s="45">
        <v>5</v>
      </c>
      <c r="F22" s="26">
        <v>32</v>
      </c>
      <c r="G22" s="25">
        <f t="shared" si="4"/>
        <v>0.7466666666666667</v>
      </c>
      <c r="J22" s="51" t="s">
        <v>47</v>
      </c>
      <c r="X22" s="51" t="s">
        <v>11</v>
      </c>
    </row>
    <row r="23" spans="2:37" ht="18" customHeight="1" x14ac:dyDescent="0.25">
      <c r="F23" s="26">
        <v>33</v>
      </c>
      <c r="G23" s="25">
        <f t="shared" si="4"/>
        <v>0.72000000000000008</v>
      </c>
      <c r="J23" s="200" t="s">
        <v>26</v>
      </c>
      <c r="K23" s="127">
        <v>45</v>
      </c>
      <c r="L23" s="135">
        <f>1.06*(((($D$10*$D$11*10000)/($D$21*$D$12*Z23))^(1/3))/100)</f>
        <v>4.9677141475025444</v>
      </c>
      <c r="M23" s="136">
        <f t="shared" ref="M23:W27" si="5">1.06*(((($D$10*$D$11*10000)/($D$21*$D$12*AA23))^(1/3))/100)</f>
        <v>4.9572596092206522</v>
      </c>
      <c r="N23" s="136">
        <f t="shared" si="5"/>
        <v>4.9349238748142117</v>
      </c>
      <c r="O23" s="137">
        <f t="shared" si="5"/>
        <v>5.1248964458268578</v>
      </c>
      <c r="P23" s="135">
        <f t="shared" si="5"/>
        <v>4.8379765906149927</v>
      </c>
      <c r="Q23" s="136">
        <f t="shared" si="5"/>
        <v>4.8281009453885195</v>
      </c>
      <c r="R23" s="136">
        <f t="shared" si="5"/>
        <v>4.8069936375589295</v>
      </c>
      <c r="S23" s="137">
        <f t="shared" si="5"/>
        <v>4.995328544609305</v>
      </c>
      <c r="T23" s="135">
        <f t="shared" si="5"/>
        <v>4.720810992205128</v>
      </c>
      <c r="U23" s="136">
        <f t="shared" si="5"/>
        <v>4.7114307023992321</v>
      </c>
      <c r="V23" s="136">
        <f t="shared" si="5"/>
        <v>4.6913753040444552</v>
      </c>
      <c r="W23" s="137">
        <f t="shared" si="5"/>
        <v>4.877943226066729</v>
      </c>
      <c r="X23" s="197" t="s">
        <v>26</v>
      </c>
      <c r="Y23" s="91">
        <v>45</v>
      </c>
      <c r="Z23" s="149">
        <f t="shared" ref="Z23:AK23" si="6">(Z$15*$Y17*(VLOOKUP(Z$16,$F$15:$G$25,2)))+((Z$15-0.037)*($D$16/COS(Z$16*PI()/180)))+(($D$7+$D$8)/COS(Z$16*PI()/180))</f>
        <v>49.644221294458738</v>
      </c>
      <c r="AA23" s="150">
        <f t="shared" si="6"/>
        <v>49.958973461183305</v>
      </c>
      <c r="AB23" s="150">
        <f t="shared" si="6"/>
        <v>50.640399457138699</v>
      </c>
      <c r="AC23" s="151">
        <f t="shared" si="6"/>
        <v>45.215070535147127</v>
      </c>
      <c r="AD23" s="149">
        <f t="shared" si="6"/>
        <v>53.746131213230406</v>
      </c>
      <c r="AE23" s="150">
        <f t="shared" si="6"/>
        <v>54.076611551388339</v>
      </c>
      <c r="AF23" s="150">
        <f t="shared" si="6"/>
        <v>54.79208841661994</v>
      </c>
      <c r="AG23" s="151">
        <f t="shared" si="6"/>
        <v>48.825457829527856</v>
      </c>
      <c r="AH23" s="149">
        <f t="shared" si="6"/>
        <v>57.848041132002088</v>
      </c>
      <c r="AI23" s="150">
        <f t="shared" si="6"/>
        <v>58.19424964159338</v>
      </c>
      <c r="AJ23" s="150">
        <f t="shared" si="6"/>
        <v>58.943777376101188</v>
      </c>
      <c r="AK23" s="151">
        <f t="shared" si="6"/>
        <v>52.435845123908585</v>
      </c>
    </row>
    <row r="24" spans="2:37" ht="18" customHeight="1" x14ac:dyDescent="0.35">
      <c r="B24" s="1" t="s">
        <v>13</v>
      </c>
      <c r="C24" s="37" t="s">
        <v>30</v>
      </c>
      <c r="D24" s="36" t="s">
        <v>29</v>
      </c>
      <c r="F24" s="26">
        <v>34</v>
      </c>
      <c r="G24" s="31">
        <f t="shared" si="4"/>
        <v>0.69333333333333336</v>
      </c>
      <c r="J24" s="201"/>
      <c r="K24" s="128">
        <v>55</v>
      </c>
      <c r="L24" s="130">
        <f t="shared" ref="L24:L27" si="7">1.06*(((($D$10*$D$11*10000)/($D$21*$D$12*Z24))^(1/3))/100)</f>
        <v>4.7047040196720484</v>
      </c>
      <c r="M24" s="131">
        <f t="shared" si="5"/>
        <v>4.6962884667123532</v>
      </c>
      <c r="N24" s="131">
        <f t="shared" si="5"/>
        <v>4.6782733316032639</v>
      </c>
      <c r="O24" s="132">
        <f t="shared" si="5"/>
        <v>4.8744578829166869</v>
      </c>
      <c r="P24" s="130">
        <f t="shared" si="5"/>
        <v>4.5800772168936366</v>
      </c>
      <c r="Q24" s="131">
        <f t="shared" si="5"/>
        <v>4.5721399666284874</v>
      </c>
      <c r="R24" s="131">
        <f t="shared" si="5"/>
        <v>4.5551427871305448</v>
      </c>
      <c r="S24" s="132">
        <f t="shared" si="5"/>
        <v>4.7489600647658285</v>
      </c>
      <c r="T24" s="130">
        <f t="shared" si="5"/>
        <v>4.4676872980927227</v>
      </c>
      <c r="U24" s="131">
        <f t="shared" si="5"/>
        <v>4.4601581881852344</v>
      </c>
      <c r="V24" s="131">
        <f t="shared" si="5"/>
        <v>4.4440301857005995</v>
      </c>
      <c r="W24" s="132">
        <f t="shared" si="5"/>
        <v>4.6354632692784534</v>
      </c>
      <c r="X24" s="198"/>
      <c r="Y24" s="83">
        <v>55</v>
      </c>
      <c r="Z24" s="143">
        <f t="shared" ref="Z24:AK24" si="8">(Z$15*$Y18*(VLOOKUP(Z$16,$F$15:$G$25,2)))+((Z$15-0.037)*($D$16/COS(Z$16*PI()/180)))+(($D$7+$D$8)/COS(Z$16*PI()/180))</f>
        <v>58.444221294458735</v>
      </c>
      <c r="AA24" s="144">
        <f t="shared" si="8"/>
        <v>58.758973461183302</v>
      </c>
      <c r="AB24" s="144">
        <f t="shared" si="8"/>
        <v>59.440399457138696</v>
      </c>
      <c r="AC24" s="145">
        <f t="shared" si="8"/>
        <v>52.548403868480463</v>
      </c>
      <c r="AD24" s="143">
        <f t="shared" si="8"/>
        <v>63.346131213230407</v>
      </c>
      <c r="AE24" s="144">
        <f t="shared" si="8"/>
        <v>63.676611551388341</v>
      </c>
      <c r="AF24" s="144">
        <f t="shared" si="8"/>
        <v>64.392088416619941</v>
      </c>
      <c r="AG24" s="145">
        <f t="shared" si="8"/>
        <v>56.825457829527856</v>
      </c>
      <c r="AH24" s="143">
        <f t="shared" si="8"/>
        <v>68.248041132002086</v>
      </c>
      <c r="AI24" s="144">
        <f t="shared" si="8"/>
        <v>68.594249641593379</v>
      </c>
      <c r="AJ24" s="144">
        <f t="shared" si="8"/>
        <v>69.343777376101187</v>
      </c>
      <c r="AK24" s="145">
        <f t="shared" si="8"/>
        <v>61.10251179057525</v>
      </c>
    </row>
    <row r="25" spans="2:37" ht="18" hidden="1" customHeight="1" x14ac:dyDescent="0.25">
      <c r="B25" s="18" t="s">
        <v>11</v>
      </c>
      <c r="C25" s="19">
        <f>($D$20*($D$19*$G$26))+(($D$20-0.037)*($D$16/COS($D$22*PI()/180)))+($D$7/COS($D$22*PI()/180))</f>
        <v>52.854739197491909</v>
      </c>
      <c r="D25" s="38">
        <f>($D$20*($D$19*$G$26))+(($D$20-0.037)*($D$16/COS($D$22*PI()/180)))+(($D$7+$D$8)/COS($D$22*PI()/180))</f>
        <v>53.746131213230399</v>
      </c>
      <c r="F25" s="27">
        <v>35</v>
      </c>
      <c r="G25" s="32">
        <f t="shared" si="4"/>
        <v>0.66666666666666663</v>
      </c>
      <c r="J25" s="201"/>
      <c r="K25" s="128">
        <v>65</v>
      </c>
      <c r="L25" s="130">
        <f t="shared" si="7"/>
        <v>4.4898087543553462</v>
      </c>
      <c r="M25" s="131">
        <f t="shared" si="5"/>
        <v>4.4828253378054361</v>
      </c>
      <c r="N25" s="131">
        <f t="shared" si="5"/>
        <v>4.467854058250925</v>
      </c>
      <c r="O25" s="132">
        <f t="shared" si="5"/>
        <v>4.6667517784381376</v>
      </c>
      <c r="P25" s="130">
        <f t="shared" si="5"/>
        <v>4.36963750909662</v>
      </c>
      <c r="Q25" s="131">
        <f t="shared" si="5"/>
        <v>4.3630585309026566</v>
      </c>
      <c r="R25" s="131">
        <f t="shared" si="5"/>
        <v>4.3489498889703482</v>
      </c>
      <c r="S25" s="132">
        <f t="shared" si="5"/>
        <v>4.5449694436674806</v>
      </c>
      <c r="T25" s="130">
        <f t="shared" si="5"/>
        <v>4.2613793324721563</v>
      </c>
      <c r="U25" s="131">
        <f t="shared" si="5"/>
        <v>4.2551447590130831</v>
      </c>
      <c r="V25" s="131">
        <f t="shared" si="5"/>
        <v>4.2417711179699902</v>
      </c>
      <c r="W25" s="132">
        <f t="shared" si="5"/>
        <v>4.4349796247959414</v>
      </c>
      <c r="X25" s="198"/>
      <c r="Y25" s="83">
        <v>65</v>
      </c>
      <c r="Z25" s="143">
        <f t="shared" ref="Z25:AK25" si="9">(Z$15*$Y19*(VLOOKUP(Z$16,$F$15:$G$25,2)))+((Z$15-0.037)*($D$16/COS(Z$16*PI()/180)))+(($D$7+$D$8)/COS(Z$16*PI()/180))</f>
        <v>67.24422129445874</v>
      </c>
      <c r="AA25" s="144">
        <f t="shared" si="9"/>
        <v>67.558973461183299</v>
      </c>
      <c r="AB25" s="144">
        <f t="shared" si="9"/>
        <v>68.240399457138693</v>
      </c>
      <c r="AC25" s="145">
        <f t="shared" si="9"/>
        <v>59.881737201813792</v>
      </c>
      <c r="AD25" s="143">
        <f t="shared" si="9"/>
        <v>72.946131213230416</v>
      </c>
      <c r="AE25" s="144">
        <f t="shared" si="9"/>
        <v>73.276611551388342</v>
      </c>
      <c r="AF25" s="144">
        <f t="shared" si="9"/>
        <v>73.99208841661995</v>
      </c>
      <c r="AG25" s="145">
        <f t="shared" si="9"/>
        <v>64.825457829527863</v>
      </c>
      <c r="AH25" s="143">
        <f t="shared" si="9"/>
        <v>78.648041132002092</v>
      </c>
      <c r="AI25" s="144">
        <f t="shared" si="9"/>
        <v>78.994249641593385</v>
      </c>
      <c r="AJ25" s="144">
        <f t="shared" si="9"/>
        <v>79.743777376101193</v>
      </c>
      <c r="AK25" s="145">
        <f t="shared" si="9"/>
        <v>69.769178457241921</v>
      </c>
    </row>
    <row r="26" spans="2:37" ht="18" customHeight="1" x14ac:dyDescent="0.3">
      <c r="B26" s="196" t="s">
        <v>57</v>
      </c>
      <c r="C26" s="95">
        <f>1.11*((($D$9*$D$11*10000/($D$21*$D$12*$C$25))^(1/3))/100)</f>
        <v>4.5887604347097568</v>
      </c>
      <c r="D26" s="95">
        <f>1.06*((($D$10*$D$11*10000/($D$21*$D$12*$D$25))^(1/3))/100)</f>
        <v>4.8379765906149927</v>
      </c>
      <c r="F26" s="21" t="s">
        <v>23</v>
      </c>
      <c r="G26" s="28">
        <f>VLOOKUP($D$22,$F$15:$G25,2)</f>
        <v>0.8</v>
      </c>
      <c r="J26" s="201"/>
      <c r="K26" s="128">
        <v>90</v>
      </c>
      <c r="L26" s="130">
        <f t="shared" si="7"/>
        <v>4.0855713292027627</v>
      </c>
      <c r="M26" s="131">
        <f t="shared" si="5"/>
        <v>4.0807795077000719</v>
      </c>
      <c r="N26" s="131">
        <f t="shared" si="5"/>
        <v>4.0704819095518889</v>
      </c>
      <c r="O26" s="132">
        <f t="shared" si="5"/>
        <v>4.2692280239352431</v>
      </c>
      <c r="P26" s="130">
        <f t="shared" si="5"/>
        <v>3.9743795341390196</v>
      </c>
      <c r="Q26" s="131">
        <f t="shared" si="5"/>
        <v>3.9698736736659557</v>
      </c>
      <c r="R26" s="131">
        <f t="shared" si="5"/>
        <v>3.9601882190508295</v>
      </c>
      <c r="S26" s="132">
        <f t="shared" si="5"/>
        <v>4.1553163663336008</v>
      </c>
      <c r="T26" s="130">
        <f t="shared" si="5"/>
        <v>3.8743822305083095</v>
      </c>
      <c r="U26" s="131">
        <f t="shared" si="5"/>
        <v>3.8701190728371317</v>
      </c>
      <c r="V26" s="131">
        <f t="shared" si="5"/>
        <v>3.8609533881110911</v>
      </c>
      <c r="W26" s="132">
        <f t="shared" si="5"/>
        <v>4.0526646746702744</v>
      </c>
      <c r="X26" s="198"/>
      <c r="Y26" s="83">
        <v>90</v>
      </c>
      <c r="Z26" s="143">
        <f t="shared" ref="Z26:AK26" si="10">(Z$15*$Y20*(VLOOKUP(Z$16,$F$15:$G$25,2)))+((Z$15-0.037)*($D$16/COS(Z$16*PI()/180)))+(($D$7+$D$8)/COS(Z$16*PI()/180))</f>
        <v>89.244221294458754</v>
      </c>
      <c r="AA26" s="144">
        <f t="shared" si="10"/>
        <v>89.558973461183314</v>
      </c>
      <c r="AB26" s="144">
        <f t="shared" si="10"/>
        <v>90.240399457138707</v>
      </c>
      <c r="AC26" s="145">
        <f t="shared" si="10"/>
        <v>78.215070535147134</v>
      </c>
      <c r="AD26" s="143">
        <f t="shared" si="10"/>
        <v>96.946131213230416</v>
      </c>
      <c r="AE26" s="144">
        <f t="shared" si="10"/>
        <v>97.276611551388342</v>
      </c>
      <c r="AF26" s="144">
        <f t="shared" si="10"/>
        <v>97.99208841661995</v>
      </c>
      <c r="AG26" s="145">
        <f t="shared" si="10"/>
        <v>84.825457829527863</v>
      </c>
      <c r="AH26" s="143">
        <f t="shared" si="10"/>
        <v>104.64804113200209</v>
      </c>
      <c r="AI26" s="144">
        <f t="shared" si="10"/>
        <v>104.99424964159338</v>
      </c>
      <c r="AJ26" s="144">
        <f t="shared" si="10"/>
        <v>105.74377737610119</v>
      </c>
      <c r="AK26" s="145">
        <f t="shared" si="10"/>
        <v>91.435845123908592</v>
      </c>
    </row>
    <row r="27" spans="2:37" ht="18" customHeight="1" thickBot="1" x14ac:dyDescent="0.35">
      <c r="B27" s="41"/>
      <c r="C27" s="42"/>
      <c r="D27" s="43"/>
      <c r="F27" s="213" t="s">
        <v>24</v>
      </c>
      <c r="G27" s="213"/>
      <c r="H27" s="213"/>
      <c r="I27" s="65"/>
      <c r="J27" s="202"/>
      <c r="K27" s="98">
        <v>140</v>
      </c>
      <c r="L27" s="133">
        <f t="shared" si="7"/>
        <v>3.5746212898303598</v>
      </c>
      <c r="M27" s="138">
        <f t="shared" si="5"/>
        <v>3.5718110336441096</v>
      </c>
      <c r="N27" s="138">
        <f t="shared" si="5"/>
        <v>3.5657570814643456</v>
      </c>
      <c r="O27" s="139">
        <f t="shared" si="5"/>
        <v>3.7557427183850294</v>
      </c>
      <c r="P27" s="133">
        <f t="shared" si="5"/>
        <v>3.4757133818311976</v>
      </c>
      <c r="Q27" s="138">
        <f t="shared" si="5"/>
        <v>3.4730758225247924</v>
      </c>
      <c r="R27" s="138">
        <f t="shared" si="5"/>
        <v>3.4673929213655166</v>
      </c>
      <c r="S27" s="139">
        <f t="shared" si="5"/>
        <v>3.6532420070639851</v>
      </c>
      <c r="T27" s="133">
        <f t="shared" si="5"/>
        <v>3.3869166508910387</v>
      </c>
      <c r="U27" s="138">
        <f t="shared" si="5"/>
        <v>3.3844251745854539</v>
      </c>
      <c r="V27" s="138">
        <f t="shared" si="5"/>
        <v>3.3790562381113456</v>
      </c>
      <c r="W27" s="139">
        <f t="shared" si="5"/>
        <v>3.5610874459484871</v>
      </c>
      <c r="X27" s="199"/>
      <c r="Y27" s="111">
        <v>140</v>
      </c>
      <c r="Z27" s="152">
        <f>(Z$15*$Y21*(VLOOKUP(Z$16,$F$15:$G$25,2)))+((Z$15-0.037)*($D$16/COS(Z$16*PI()/180)))+(($D$7+$D$8)/COS(Z$16*PI()/180))</f>
        <v>133.24422129445875</v>
      </c>
      <c r="AA27" s="153">
        <f t="shared" ref="AA27:AK27" si="11">(AA$15*$Y21*(VLOOKUP(AA$16,$F$15:$G$25,2)))+((AA$15-0.037)*($D$16/COS(AA$16*PI()/180)))+(($D$7+$D$8)/COS(AA$16*PI()/180))</f>
        <v>133.55897346118329</v>
      </c>
      <c r="AB27" s="153">
        <f t="shared" si="11"/>
        <v>134.24039945713872</v>
      </c>
      <c r="AC27" s="154">
        <f t="shared" si="11"/>
        <v>114.88173720181379</v>
      </c>
      <c r="AD27" s="152">
        <f t="shared" si="11"/>
        <v>144.94613121323042</v>
      </c>
      <c r="AE27" s="153">
        <f t="shared" si="11"/>
        <v>145.27661155138833</v>
      </c>
      <c r="AF27" s="153">
        <f t="shared" si="11"/>
        <v>145.99208841661996</v>
      </c>
      <c r="AG27" s="154">
        <f t="shared" si="11"/>
        <v>124.82545782952786</v>
      </c>
      <c r="AH27" s="152">
        <f t="shared" si="11"/>
        <v>156.64804113200208</v>
      </c>
      <c r="AI27" s="153">
        <f t="shared" si="11"/>
        <v>156.99424964159337</v>
      </c>
      <c r="AJ27" s="153">
        <f t="shared" si="11"/>
        <v>157.74377737610121</v>
      </c>
      <c r="AK27" s="154">
        <f t="shared" si="11"/>
        <v>134.76917845724191</v>
      </c>
    </row>
    <row r="28" spans="2:37" ht="18" customHeight="1" x14ac:dyDescent="0.25">
      <c r="B28" s="39"/>
      <c r="C28" s="40"/>
      <c r="D28" s="40"/>
      <c r="F28" s="30" t="s">
        <v>25</v>
      </c>
      <c r="J28" s="74"/>
      <c r="K28" s="75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</row>
    <row r="29" spans="2:37" ht="18" customHeight="1" x14ac:dyDescent="0.25">
      <c r="J29" s="208"/>
      <c r="K29" s="79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</row>
    <row r="30" spans="2:37" ht="18" customHeight="1" x14ac:dyDescent="0.25">
      <c r="J30" s="206"/>
      <c r="K30" s="79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2:37" ht="18" customHeight="1" x14ac:dyDescent="0.25">
      <c r="J31" s="206"/>
      <c r="K31" s="79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2:37" ht="18" customHeight="1" x14ac:dyDescent="0.25">
      <c r="J32" s="206"/>
      <c r="K32" s="79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2:27" ht="18" customHeight="1" x14ac:dyDescent="0.25">
      <c r="J33" s="8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2:27" ht="18" customHeight="1" x14ac:dyDescent="0.25">
      <c r="J34" s="208"/>
      <c r="K34" s="79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2:27" ht="18" customHeight="1" x14ac:dyDescent="0.25">
      <c r="J35" s="206"/>
      <c r="K35" s="79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2:27" ht="18" customHeight="1" x14ac:dyDescent="0.25">
      <c r="J36" s="206"/>
      <c r="K36" s="79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2:27" ht="18" customHeight="1" x14ac:dyDescent="0.25">
      <c r="J37" s="206"/>
      <c r="K37" s="79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2:27" ht="18" customHeight="1" x14ac:dyDescent="0.25"/>
    <row r="39" spans="2:27" ht="18" customHeight="1" x14ac:dyDescent="0.25">
      <c r="B39" t="s">
        <v>40</v>
      </c>
      <c r="D39">
        <f>$D$20*$D$19*$G$26</f>
        <v>43.2</v>
      </c>
    </row>
    <row r="40" spans="2:27" ht="18" customHeight="1" x14ac:dyDescent="0.25">
      <c r="B40" t="s">
        <v>41</v>
      </c>
      <c r="C40" s="66"/>
      <c r="D40" s="66">
        <f>(($D$20-0.037)*$D$16)/COS($D$22*PI()/180)</f>
        <v>5.8372123553145654</v>
      </c>
    </row>
    <row r="41" spans="2:27" ht="18" customHeight="1" x14ac:dyDescent="0.25">
      <c r="B41" t="s">
        <v>42</v>
      </c>
      <c r="C41" s="66"/>
      <c r="D41" s="66">
        <f>$D$7/COS($D$22*PI()/180)</f>
        <v>3.8175268421773501</v>
      </c>
    </row>
    <row r="42" spans="2:27" ht="18" customHeight="1" x14ac:dyDescent="0.25">
      <c r="B42" s="67" t="s">
        <v>39</v>
      </c>
      <c r="C42" s="68"/>
      <c r="D42" s="68">
        <f>($D$7+$D$8)/COS($D$22*PI()/180)</f>
        <v>4.7089188579158421</v>
      </c>
    </row>
    <row r="43" spans="2:27" ht="18" customHeight="1" x14ac:dyDescent="0.25">
      <c r="B43" t="s">
        <v>43</v>
      </c>
      <c r="C43" s="69"/>
      <c r="D43" s="69">
        <f>$D$39+$D$40+$D$41</f>
        <v>52.854739197491917</v>
      </c>
    </row>
    <row r="44" spans="2:27" ht="18" customHeight="1" x14ac:dyDescent="0.25">
      <c r="B44" s="67" t="s">
        <v>44</v>
      </c>
      <c r="C44" s="70"/>
      <c r="D44" s="70">
        <f>$D$39+$D$40+$D$42</f>
        <v>53.746131213230406</v>
      </c>
    </row>
    <row r="45" spans="2:27" ht="18" customHeight="1" x14ac:dyDescent="0.25">
      <c r="B45" s="40" t="s">
        <v>46</v>
      </c>
      <c r="D45" s="71">
        <f>10*(($D$9*$D$11*10000)/($D$21*$D$12*$D$43))^(1/3)</f>
        <v>4134.018409648429</v>
      </c>
    </row>
    <row r="46" spans="2:27" ht="18" customHeight="1" x14ac:dyDescent="0.25">
      <c r="B46" s="40" t="s">
        <v>45</v>
      </c>
      <c r="D46" s="71">
        <f>10*(($D$10*$D$11*10000)/($D$21*$D$12*$D$44))^(1/3)</f>
        <v>4564.1288590707481</v>
      </c>
    </row>
    <row r="47" spans="2:27" ht="18" customHeight="1" x14ac:dyDescent="0.25"/>
    <row r="48" spans="2:27" ht="18" customHeight="1" x14ac:dyDescent="0.25"/>
  </sheetData>
  <sheetProtection algorithmName="SHA-512" hashValue="lvi6PJ3xzx92DNzNNAietJ8MQ8upd2joGITV+QUfm74MEkKAgp8SuxCFEIuJgmj+BDEhaXbdaano0QjgfN/Rjw==" saltValue="yATUD2xPCwErINqql3Hkfw==" spinCount="100000" sheet="1" objects="1" scenarios="1"/>
  <mergeCells count="13">
    <mergeCell ref="X15:Y15"/>
    <mergeCell ref="J16:K16"/>
    <mergeCell ref="X16:Y16"/>
    <mergeCell ref="F27:H27"/>
    <mergeCell ref="J29:J32"/>
    <mergeCell ref="X17:X21"/>
    <mergeCell ref="X23:X27"/>
    <mergeCell ref="B1:D1"/>
    <mergeCell ref="B2:D2"/>
    <mergeCell ref="J15:K15"/>
    <mergeCell ref="J34:J37"/>
    <mergeCell ref="J17:J21"/>
    <mergeCell ref="J23:J27"/>
  </mergeCells>
  <pageMargins left="0.39370078740157483" right="0" top="0.39370078740157483" bottom="0" header="0" footer="0"/>
  <pageSetup paperSize="9" scale="51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8919F-7B68-46AB-9472-F58A652A2324}">
  <sheetPr>
    <pageSetUpPr fitToPage="1"/>
  </sheetPr>
  <dimension ref="B1:AA47"/>
  <sheetViews>
    <sheetView workbookViewId="0">
      <selection activeCell="Z35" sqref="Z35"/>
    </sheetView>
  </sheetViews>
  <sheetFormatPr baseColWidth="10" defaultRowHeight="12.6" x14ac:dyDescent="0.25"/>
  <cols>
    <col min="1" max="1" width="1.6640625" customWidth="1"/>
    <col min="2" max="2" width="46.44140625" bestFit="1" customWidth="1"/>
    <col min="3" max="3" width="14.6640625" customWidth="1"/>
    <col min="4" max="4" width="17.44140625" customWidth="1"/>
    <col min="5" max="5" width="1.6640625" customWidth="1"/>
    <col min="6" max="7" width="10.77734375" hidden="1" customWidth="1"/>
    <col min="8" max="8" width="12.77734375" hidden="1" customWidth="1"/>
    <col min="9" max="9" width="5.77734375" customWidth="1"/>
    <col min="10" max="11" width="5.77734375" hidden="1" customWidth="1"/>
    <col min="12" max="23" width="6.77734375" hidden="1" customWidth="1"/>
    <col min="24" max="27" width="6.77734375" customWidth="1"/>
  </cols>
  <sheetData>
    <row r="1" spans="2:23" ht="12.9" customHeight="1" x14ac:dyDescent="0.25">
      <c r="B1" s="219" t="s">
        <v>58</v>
      </c>
      <c r="C1" s="212"/>
      <c r="D1" s="212"/>
    </row>
    <row r="2" spans="2:23" ht="15.6" x14ac:dyDescent="0.25">
      <c r="B2" s="209" t="s">
        <v>56</v>
      </c>
      <c r="C2" s="210"/>
      <c r="D2" s="210"/>
      <c r="E2" s="15"/>
      <c r="F2" s="15"/>
      <c r="G2" s="15"/>
      <c r="H2" s="15"/>
      <c r="I2" s="15"/>
    </row>
    <row r="3" spans="2:23" ht="15.6" x14ac:dyDescent="0.3">
      <c r="B3" s="20" t="s">
        <v>34</v>
      </c>
      <c r="C3" s="64"/>
      <c r="D3" s="64"/>
      <c r="E3" s="15"/>
      <c r="F3" s="15"/>
      <c r="G3" s="15"/>
      <c r="H3" s="15"/>
      <c r="I3" s="15"/>
    </row>
    <row r="4" spans="2:23" ht="4.95" customHeight="1" x14ac:dyDescent="0.25"/>
    <row r="5" spans="2:23" ht="18" hidden="1" customHeight="1" x14ac:dyDescent="0.3">
      <c r="B5" s="1" t="s">
        <v>4</v>
      </c>
    </row>
    <row r="6" spans="2:23" ht="18" hidden="1" customHeight="1" x14ac:dyDescent="0.25">
      <c r="B6" s="9" t="s">
        <v>2</v>
      </c>
      <c r="C6" s="6" t="s">
        <v>3</v>
      </c>
    </row>
    <row r="7" spans="2:23" ht="18" hidden="1" customHeight="1" x14ac:dyDescent="0.25">
      <c r="B7" s="3" t="s">
        <v>20</v>
      </c>
      <c r="C7" s="7" t="s">
        <v>17</v>
      </c>
      <c r="D7" s="48">
        <v>4.157</v>
      </c>
      <c r="F7" s="13"/>
      <c r="G7" s="14"/>
      <c r="H7" s="14"/>
      <c r="I7" s="14"/>
    </row>
    <row r="8" spans="2:23" ht="18" hidden="1" customHeight="1" x14ac:dyDescent="0.25">
      <c r="B8" s="35" t="s">
        <v>31</v>
      </c>
      <c r="C8" s="7" t="s">
        <v>17</v>
      </c>
      <c r="D8" s="48">
        <v>0.88800000000000001</v>
      </c>
      <c r="F8" s="13"/>
      <c r="G8" s="14"/>
      <c r="H8" s="14"/>
      <c r="I8" s="14"/>
    </row>
    <row r="9" spans="2:23" ht="18" hidden="1" customHeight="1" x14ac:dyDescent="0.25">
      <c r="B9" s="3" t="s">
        <v>16</v>
      </c>
      <c r="C9" s="7" t="s">
        <v>8</v>
      </c>
      <c r="D9" s="49">
        <v>231.1</v>
      </c>
    </row>
    <row r="10" spans="2:23" ht="18" hidden="1" customHeight="1" x14ac:dyDescent="0.25">
      <c r="B10" s="18" t="s">
        <v>32</v>
      </c>
      <c r="C10" s="7" t="s">
        <v>8</v>
      </c>
      <c r="D10" s="56">
        <v>304.29399999999998</v>
      </c>
    </row>
    <row r="11" spans="2:23" ht="18" hidden="1" customHeight="1" x14ac:dyDescent="0.25">
      <c r="B11" s="5" t="s">
        <v>5</v>
      </c>
      <c r="C11" s="4" t="s">
        <v>12</v>
      </c>
      <c r="D11" s="57">
        <v>7000</v>
      </c>
    </row>
    <row r="12" spans="2:23" ht="18" hidden="1" customHeight="1" x14ac:dyDescent="0.25">
      <c r="B12" s="5" t="s">
        <v>10</v>
      </c>
      <c r="C12" s="2" t="s">
        <v>9</v>
      </c>
      <c r="D12" s="50">
        <v>1.2999999999999999E-2</v>
      </c>
    </row>
    <row r="13" spans="2:23" ht="18" hidden="1" customHeight="1" x14ac:dyDescent="0.25">
      <c r="F13" s="29"/>
      <c r="G13" s="29"/>
    </row>
    <row r="14" spans="2:23" ht="18" customHeight="1" thickBot="1" x14ac:dyDescent="0.35">
      <c r="B14" s="1" t="s">
        <v>0</v>
      </c>
      <c r="F14" s="21" t="s">
        <v>6</v>
      </c>
      <c r="G14" s="21" t="s">
        <v>7</v>
      </c>
      <c r="J14" s="51" t="s">
        <v>48</v>
      </c>
    </row>
    <row r="15" spans="2:23" ht="18" customHeight="1" x14ac:dyDescent="0.25">
      <c r="B15" s="8" t="s">
        <v>2</v>
      </c>
      <c r="C15" s="11" t="s">
        <v>3</v>
      </c>
      <c r="D15" s="53" t="s">
        <v>18</v>
      </c>
      <c r="F15" s="22">
        <v>5</v>
      </c>
      <c r="G15" s="23">
        <v>0.8</v>
      </c>
      <c r="J15" s="214" t="s">
        <v>27</v>
      </c>
      <c r="K15" s="205"/>
      <c r="L15" s="84">
        <v>1.1000000000000001</v>
      </c>
      <c r="M15" s="85">
        <v>1.1000000000000001</v>
      </c>
      <c r="N15" s="90">
        <v>1.1000000000000001</v>
      </c>
      <c r="O15" s="85">
        <v>1.1000000000000001</v>
      </c>
      <c r="P15" s="84">
        <v>1.2</v>
      </c>
      <c r="Q15" s="85">
        <v>1.2</v>
      </c>
      <c r="R15" s="90">
        <v>1.2</v>
      </c>
      <c r="S15" s="87">
        <v>1.2</v>
      </c>
      <c r="T15" s="85">
        <v>1.3</v>
      </c>
      <c r="U15" s="85">
        <v>1.3</v>
      </c>
      <c r="V15" s="90">
        <v>1.3</v>
      </c>
      <c r="W15" s="87">
        <v>1.3</v>
      </c>
    </row>
    <row r="16" spans="2:23" ht="18" customHeight="1" x14ac:dyDescent="0.25">
      <c r="B16" s="3" t="s">
        <v>14</v>
      </c>
      <c r="C16" s="7" t="s">
        <v>22</v>
      </c>
      <c r="D16" s="44">
        <v>5</v>
      </c>
      <c r="F16" s="24">
        <v>10</v>
      </c>
      <c r="G16" s="25">
        <v>0.8</v>
      </c>
      <c r="J16" s="214" t="s">
        <v>6</v>
      </c>
      <c r="K16" s="205"/>
      <c r="L16" s="88">
        <v>5</v>
      </c>
      <c r="M16" s="34">
        <v>15</v>
      </c>
      <c r="N16" s="34">
        <v>25</v>
      </c>
      <c r="O16" s="169">
        <v>35</v>
      </c>
      <c r="P16" s="88">
        <v>5</v>
      </c>
      <c r="Q16" s="34">
        <v>15</v>
      </c>
      <c r="R16" s="34">
        <v>25</v>
      </c>
      <c r="S16" s="89">
        <v>35</v>
      </c>
      <c r="T16" s="173">
        <v>5</v>
      </c>
      <c r="U16" s="34">
        <v>15</v>
      </c>
      <c r="V16" s="34">
        <v>25</v>
      </c>
      <c r="W16" s="89">
        <v>35</v>
      </c>
    </row>
    <row r="17" spans="2:27" ht="18" hidden="1" customHeight="1" x14ac:dyDescent="0.25">
      <c r="B17" s="43"/>
      <c r="C17" s="58"/>
      <c r="D17" s="59"/>
      <c r="F17" s="24">
        <v>15</v>
      </c>
      <c r="G17" s="25">
        <v>0.8</v>
      </c>
      <c r="J17" s="215" t="s">
        <v>26</v>
      </c>
      <c r="K17" s="91">
        <v>45</v>
      </c>
      <c r="L17" s="179">
        <f>1.11*((($D$9*$D$11*10000/($D$21*$D$12*((L$15*(((VLOOKUP(L$16,$F$15:$G$25,2))*$K17))+((L$15-0.037)*($D$16/COS(L$16*PI()/180))))+($D$7/COS(L$16*PI()/180)))))^(1/3))/100)</f>
        <v>5.5750218502602422</v>
      </c>
      <c r="M17" s="180">
        <f t="shared" ref="M17:W17" si="0">1.11*((($D$9*$D$11*10000/($D$21*$D$12*((M$15*(((VLOOKUP(M$16,$F$15:$G$25,2))*$K17))+((M$15-0.037)*($D$16/COS(M$16*PI()/180))))+($D$7/COS(M$16*PI()/180)))))^(1/3))/100)</f>
        <v>5.5637921170277354</v>
      </c>
      <c r="N17" s="180">
        <f t="shared" si="0"/>
        <v>5.5397866465985723</v>
      </c>
      <c r="O17" s="187">
        <f t="shared" si="0"/>
        <v>5.758452780161492</v>
      </c>
      <c r="P17" s="179">
        <f t="shared" si="0"/>
        <v>5.4279168937088871</v>
      </c>
      <c r="Q17" s="180">
        <f t="shared" si="0"/>
        <v>5.4172924534713447</v>
      </c>
      <c r="R17" s="180">
        <f t="shared" si="0"/>
        <v>5.3945727968770631</v>
      </c>
      <c r="S17" s="155">
        <f t="shared" si="0"/>
        <v>5.610844914048001</v>
      </c>
      <c r="T17" s="190">
        <f t="shared" si="0"/>
        <v>5.2952036388095696</v>
      </c>
      <c r="U17" s="180">
        <f t="shared" si="0"/>
        <v>5.2850973009208966</v>
      </c>
      <c r="V17" s="180">
        <f t="shared" si="0"/>
        <v>5.2634789616026625</v>
      </c>
      <c r="W17" s="155">
        <f t="shared" si="0"/>
        <v>5.4772949596100053</v>
      </c>
    </row>
    <row r="18" spans="2:27" ht="18" hidden="1" customHeight="1" x14ac:dyDescent="0.25">
      <c r="B18" s="60"/>
      <c r="C18" s="61"/>
      <c r="D18" s="62"/>
      <c r="F18" s="24">
        <v>20</v>
      </c>
      <c r="G18" s="25">
        <v>0.8</v>
      </c>
      <c r="J18" s="216"/>
      <c r="K18" s="83">
        <v>55</v>
      </c>
      <c r="L18" s="181">
        <f t="shared" ref="L18:W21" si="1">1.11*((($D$9*$D$11*10000/($D$21*$D$12*((L$15*(((VLOOKUP(L$16,$F$15:$G$25,2))*$K18))+((L$15-0.037)*($D$16/COS(L$16*PI()/180))))+($D$7/COS(L$16*PI()/180)))))^(1/3))/100)</f>
        <v>5.2769690740819657</v>
      </c>
      <c r="M18" s="182">
        <f t="shared" si="1"/>
        <v>5.2679494805219553</v>
      </c>
      <c r="N18" s="182">
        <f t="shared" si="1"/>
        <v>5.2486316435018736</v>
      </c>
      <c r="O18" s="188">
        <f t="shared" si="1"/>
        <v>5.4733321773825541</v>
      </c>
      <c r="P18" s="181">
        <f t="shared" si="1"/>
        <v>5.1359570446381664</v>
      </c>
      <c r="Q18" s="182">
        <f t="shared" si="1"/>
        <v>5.1274354975350409</v>
      </c>
      <c r="R18" s="182">
        <f t="shared" si="1"/>
        <v>5.1091786250201814</v>
      </c>
      <c r="S18" s="156">
        <f t="shared" si="1"/>
        <v>5.3307362791747739</v>
      </c>
      <c r="T18" s="191">
        <f t="shared" si="1"/>
        <v>5.0089032280256784</v>
      </c>
      <c r="U18" s="182">
        <f t="shared" si="1"/>
        <v>5.0008068997548483</v>
      </c>
      <c r="V18" s="182">
        <f t="shared" si="1"/>
        <v>4.9834563697290282</v>
      </c>
      <c r="W18" s="156">
        <f t="shared" si="1"/>
        <v>5.2019272699805388</v>
      </c>
    </row>
    <row r="19" spans="2:27" ht="18" customHeight="1" x14ac:dyDescent="0.25">
      <c r="B19" s="3" t="s">
        <v>15</v>
      </c>
      <c r="C19" s="7" t="s">
        <v>22</v>
      </c>
      <c r="D19" s="45">
        <v>45</v>
      </c>
      <c r="F19" s="24">
        <v>25</v>
      </c>
      <c r="G19" s="25">
        <v>0.8</v>
      </c>
      <c r="J19" s="216"/>
      <c r="K19" s="83">
        <v>65</v>
      </c>
      <c r="L19" s="181">
        <f t="shared" si="1"/>
        <v>5.0339027835735157</v>
      </c>
      <c r="M19" s="182">
        <f t="shared" si="1"/>
        <v>5.02643032093453</v>
      </c>
      <c r="N19" s="182">
        <f t="shared" si="1"/>
        <v>5.0104034656831669</v>
      </c>
      <c r="O19" s="188">
        <f t="shared" si="1"/>
        <v>5.2374231407423997</v>
      </c>
      <c r="P19" s="181">
        <f t="shared" si="1"/>
        <v>4.8981433677868917</v>
      </c>
      <c r="Q19" s="182">
        <f t="shared" si="1"/>
        <v>4.8910907589130161</v>
      </c>
      <c r="R19" s="182">
        <f t="shared" si="1"/>
        <v>4.8759601644366803</v>
      </c>
      <c r="S19" s="156">
        <f t="shared" si="1"/>
        <v>5.0993224042587553</v>
      </c>
      <c r="T19" s="191">
        <f t="shared" si="1"/>
        <v>4.7759371492957241</v>
      </c>
      <c r="U19" s="182">
        <f t="shared" si="1"/>
        <v>4.7692423318991342</v>
      </c>
      <c r="V19" s="182">
        <f t="shared" si="1"/>
        <v>4.7548759025909213</v>
      </c>
      <c r="W19" s="156">
        <f t="shared" si="1"/>
        <v>4.9747237405112914</v>
      </c>
    </row>
    <row r="20" spans="2:27" ht="18" customHeight="1" x14ac:dyDescent="0.25">
      <c r="B20" s="3" t="s">
        <v>1</v>
      </c>
      <c r="C20" s="7" t="s">
        <v>28</v>
      </c>
      <c r="D20" s="63">
        <v>1.2</v>
      </c>
      <c r="F20" s="24">
        <v>30</v>
      </c>
      <c r="G20" s="25">
        <f>0.8*(60-$F20)/30</f>
        <v>0.8</v>
      </c>
      <c r="J20" s="216"/>
      <c r="K20" s="83">
        <v>90</v>
      </c>
      <c r="L20" s="181">
        <f t="shared" si="1"/>
        <v>4.5776575367925183</v>
      </c>
      <c r="M20" s="182">
        <f t="shared" si="1"/>
        <v>4.5725438130905482</v>
      </c>
      <c r="N20" s="182">
        <f t="shared" si="1"/>
        <v>4.5615505919602564</v>
      </c>
      <c r="O20" s="188">
        <f t="shared" si="1"/>
        <v>4.7871752694805956</v>
      </c>
      <c r="P20" s="181">
        <f t="shared" si="1"/>
        <v>4.4523608954054081</v>
      </c>
      <c r="Q20" s="182">
        <f t="shared" si="1"/>
        <v>4.4475425664411636</v>
      </c>
      <c r="R20" s="182">
        <f t="shared" si="1"/>
        <v>4.4371820934499873</v>
      </c>
      <c r="S20" s="156">
        <f t="shared" si="1"/>
        <v>4.6584269071240714</v>
      </c>
      <c r="T20" s="191">
        <f t="shared" si="1"/>
        <v>4.339745481402586</v>
      </c>
      <c r="U20" s="182">
        <f t="shared" si="1"/>
        <v>4.3351781209625511</v>
      </c>
      <c r="V20" s="182">
        <f t="shared" si="1"/>
        <v>4.3253554463818054</v>
      </c>
      <c r="W20" s="156">
        <f t="shared" si="1"/>
        <v>4.5424988978241609</v>
      </c>
    </row>
    <row r="21" spans="2:27" ht="18" hidden="1" customHeight="1" thickBot="1" x14ac:dyDescent="0.3">
      <c r="B21" s="16" t="s">
        <v>21</v>
      </c>
      <c r="C21" s="12"/>
      <c r="D21" s="46">
        <v>200</v>
      </c>
      <c r="F21" s="24">
        <v>31</v>
      </c>
      <c r="G21" s="25">
        <f t="shared" ref="G21:G25" si="2">0.8*(60-$F21)/30</f>
        <v>0.77333333333333343</v>
      </c>
      <c r="J21" s="217"/>
      <c r="K21" s="96">
        <v>140</v>
      </c>
      <c r="L21" s="185">
        <f t="shared" si="1"/>
        <v>4.002505695634972</v>
      </c>
      <c r="M21" s="186">
        <f t="shared" si="1"/>
        <v>3.999514715524592</v>
      </c>
      <c r="N21" s="186">
        <f t="shared" si="1"/>
        <v>3.9930698613016049</v>
      </c>
      <c r="O21" s="189">
        <f t="shared" si="1"/>
        <v>4.2076344018973542</v>
      </c>
      <c r="P21" s="185">
        <f t="shared" si="1"/>
        <v>3.8913355082490604</v>
      </c>
      <c r="Q21" s="186">
        <f t="shared" si="1"/>
        <v>3.8885220396071531</v>
      </c>
      <c r="R21" s="186">
        <f t="shared" si="1"/>
        <v>3.8824587527090317</v>
      </c>
      <c r="S21" s="158">
        <f t="shared" si="1"/>
        <v>4.0921807582730958</v>
      </c>
      <c r="T21" s="192">
        <f t="shared" si="1"/>
        <v>3.7915701381629607</v>
      </c>
      <c r="U21" s="186">
        <f t="shared" si="1"/>
        <v>3.7889070285072366</v>
      </c>
      <c r="V21" s="186">
        <f t="shared" si="1"/>
        <v>3.7831670323495676</v>
      </c>
      <c r="W21" s="158">
        <f t="shared" si="1"/>
        <v>3.98843887289252</v>
      </c>
    </row>
    <row r="22" spans="2:27" ht="18" customHeight="1" thickBot="1" x14ac:dyDescent="0.3">
      <c r="B22" s="10" t="s">
        <v>35</v>
      </c>
      <c r="C22" s="47" t="s">
        <v>33</v>
      </c>
      <c r="D22" s="45">
        <v>5</v>
      </c>
      <c r="F22" s="26">
        <v>32</v>
      </c>
      <c r="G22" s="25">
        <f t="shared" si="2"/>
        <v>0.7466666666666667</v>
      </c>
      <c r="J22" s="51" t="s">
        <v>49</v>
      </c>
    </row>
    <row r="23" spans="2:27" ht="18" customHeight="1" x14ac:dyDescent="0.25">
      <c r="F23" s="26">
        <v>33</v>
      </c>
      <c r="G23" s="25">
        <f t="shared" si="2"/>
        <v>0.72000000000000008</v>
      </c>
      <c r="J23" s="215" t="s">
        <v>26</v>
      </c>
      <c r="K23" s="91">
        <v>45</v>
      </c>
      <c r="L23" s="183">
        <f>1.06*((($D$10*$D$11*10000/($D$21*$D$12*((L$15*(((VLOOKUP(L$16,$F$15:$G$25,2))*$K17))+((L$15-0.037)*($D$16/COS(L$16*PI()/180))))+(($D$7+$D$8)/COS(L$16*PI()/180)))))^(1/3))/100)</f>
        <v>5.8003801682974432</v>
      </c>
      <c r="M23" s="184">
        <f t="shared" ref="M23:W23" si="3">1.06*((($D$10*$D$11*10000/($D$21*$D$12*((M$15*(((VLOOKUP(M$16,$F$15:$G$25,2))*$K17))+((M$15-0.037)*($D$16/COS(M$16*PI()/180))))+(($D$7+$D$8)/COS(M$16*PI()/180)))))^(1/3))/100)</f>
        <v>5.7878327252007811</v>
      </c>
      <c r="N23" s="184">
        <f t="shared" si="3"/>
        <v>5.7610354312873149</v>
      </c>
      <c r="O23" s="193">
        <f t="shared" si="3"/>
        <v>5.9791635481016545</v>
      </c>
      <c r="P23" s="183">
        <f t="shared" si="3"/>
        <v>5.649918300673602</v>
      </c>
      <c r="Q23" s="184">
        <f t="shared" si="3"/>
        <v>5.6380762555186292</v>
      </c>
      <c r="R23" s="184">
        <f t="shared" si="3"/>
        <v>5.61277481244813</v>
      </c>
      <c r="S23" s="157">
        <f t="shared" si="3"/>
        <v>5.8293586281867951</v>
      </c>
      <c r="T23" s="194">
        <f t="shared" si="3"/>
        <v>5.5139453470020765</v>
      </c>
      <c r="U23" s="184">
        <f t="shared" si="3"/>
        <v>5.5027068896619697</v>
      </c>
      <c r="V23" s="184">
        <f t="shared" si="3"/>
        <v>5.4786863662159666</v>
      </c>
      <c r="W23" s="157">
        <f t="shared" si="3"/>
        <v>5.6935210901328279</v>
      </c>
    </row>
    <row r="24" spans="2:27" ht="18" customHeight="1" x14ac:dyDescent="0.35">
      <c r="B24" s="1" t="s">
        <v>13</v>
      </c>
      <c r="C24" s="37" t="s">
        <v>30</v>
      </c>
      <c r="D24" s="36" t="s">
        <v>29</v>
      </c>
      <c r="F24" s="26">
        <v>34</v>
      </c>
      <c r="G24" s="31">
        <f t="shared" si="2"/>
        <v>0.69333333333333336</v>
      </c>
      <c r="J24" s="218"/>
      <c r="K24" s="83">
        <v>55</v>
      </c>
      <c r="L24" s="181">
        <f t="shared" ref="L24:W27" si="4">1.06*((($D$10*$D$11*10000/($D$21*$D$12*((L$15*(((VLOOKUP(L$16,$F$15:$G$25,2))*$K18))+((L$15-0.037)*($D$16/COS(L$16*PI()/180))))+(($D$7+$D$8)/COS(L$16*PI()/180)))))^(1/3))/100)</f>
        <v>5.4952463562381695</v>
      </c>
      <c r="M24" s="182">
        <f t="shared" si="4"/>
        <v>5.4851315169590285</v>
      </c>
      <c r="N24" s="182">
        <f t="shared" si="4"/>
        <v>5.4634857746977135</v>
      </c>
      <c r="O24" s="188">
        <f t="shared" si="4"/>
        <v>5.6894862140407998</v>
      </c>
      <c r="P24" s="181">
        <f t="shared" si="4"/>
        <v>5.3505124258579668</v>
      </c>
      <c r="Q24" s="182">
        <f t="shared" si="4"/>
        <v>5.3409819707237229</v>
      </c>
      <c r="R24" s="182">
        <f t="shared" si="4"/>
        <v>5.3205792059992323</v>
      </c>
      <c r="S24" s="156">
        <f t="shared" si="4"/>
        <v>5.5441394891051319</v>
      </c>
      <c r="T24" s="191">
        <f t="shared" si="4"/>
        <v>5.219914141654046</v>
      </c>
      <c r="U24" s="182">
        <f t="shared" si="4"/>
        <v>5.2108822559124475</v>
      </c>
      <c r="V24" s="182">
        <f t="shared" si="4"/>
        <v>5.1915406453795363</v>
      </c>
      <c r="W24" s="156">
        <f t="shared" si="4"/>
        <v>5.4125918148374579</v>
      </c>
    </row>
    <row r="25" spans="2:27" ht="18" hidden="1" customHeight="1" x14ac:dyDescent="0.25">
      <c r="B25" s="18" t="s">
        <v>11</v>
      </c>
      <c r="C25" s="19">
        <f>($D$20*($D$19*$G$26))+(($D$20-0.037)*($D$16/COS($D$22*PI()/180)))+($D$7/COS($D$22*PI()/180))</f>
        <v>53.210091419982255</v>
      </c>
      <c r="D25" s="38">
        <f>($D$20*($D$19*$G$26))+(($D$20-0.037)*($D$16/COS($D$22*PI()/180)))+(($D$7+$D$8)/COS($D$22*PI()/180))</f>
        <v>54.101483435720745</v>
      </c>
      <c r="F25" s="27">
        <v>35</v>
      </c>
      <c r="G25" s="32">
        <f t="shared" si="2"/>
        <v>0.66666666666666663</v>
      </c>
      <c r="J25" s="218"/>
      <c r="K25" s="83">
        <v>65</v>
      </c>
      <c r="L25" s="181">
        <f t="shared" si="4"/>
        <v>5.2456249983305154</v>
      </c>
      <c r="M25" s="182">
        <f t="shared" si="4"/>
        <v>5.2372225235786152</v>
      </c>
      <c r="N25" s="182">
        <f t="shared" si="4"/>
        <v>5.2192142693690791</v>
      </c>
      <c r="O25" s="188">
        <f t="shared" si="4"/>
        <v>5.4488657657823643</v>
      </c>
      <c r="P25" s="181">
        <f t="shared" si="4"/>
        <v>5.1059235087861357</v>
      </c>
      <c r="Q25" s="182">
        <f t="shared" si="4"/>
        <v>5.0980161435815852</v>
      </c>
      <c r="R25" s="182">
        <f t="shared" si="4"/>
        <v>5.0810633560285954</v>
      </c>
      <c r="S25" s="156">
        <f t="shared" si="4"/>
        <v>5.3076405055551961</v>
      </c>
      <c r="T25" s="191">
        <f t="shared" si="4"/>
        <v>4.9800072744733681</v>
      </c>
      <c r="U25" s="182">
        <f t="shared" si="4"/>
        <v>4.9725213993538508</v>
      </c>
      <c r="V25" s="182">
        <f t="shared" si="4"/>
        <v>4.9564676690839766</v>
      </c>
      <c r="W25" s="156">
        <f t="shared" si="4"/>
        <v>5.1800041392845593</v>
      </c>
    </row>
    <row r="26" spans="2:27" ht="18" customHeight="1" x14ac:dyDescent="0.3">
      <c r="B26" s="196" t="s">
        <v>57</v>
      </c>
      <c r="C26" s="95">
        <f>1.11*((($D$9*$D$11*10000/($D$21*$D$12*$C$25))^(1/3))/100)</f>
        <v>5.4279168937088871</v>
      </c>
      <c r="D26" s="95">
        <f>1.06*((($D$10*$D$11*10000/($D$21*$D$12*$D$25))^(1/3))/100)</f>
        <v>5.649918300673602</v>
      </c>
      <c r="F26" s="21" t="s">
        <v>23</v>
      </c>
      <c r="G26" s="28">
        <f>VLOOKUP($D$22,$F$15:$G25,2)</f>
        <v>0.8</v>
      </c>
      <c r="J26" s="218"/>
      <c r="K26" s="83">
        <v>90</v>
      </c>
      <c r="L26" s="181">
        <f t="shared" si="4"/>
        <v>4.7754017198303433</v>
      </c>
      <c r="M26" s="182">
        <f t="shared" si="4"/>
        <v>4.7696260902337295</v>
      </c>
      <c r="N26" s="182">
        <f t="shared" si="4"/>
        <v>4.7572171509123198</v>
      </c>
      <c r="O26" s="188">
        <f t="shared" si="4"/>
        <v>4.9875135849689274</v>
      </c>
      <c r="P26" s="181">
        <f t="shared" si="4"/>
        <v>4.645923686357861</v>
      </c>
      <c r="Q26" s="182">
        <f t="shared" si="4"/>
        <v>4.6404992516826722</v>
      </c>
      <c r="R26" s="182">
        <f t="shared" si="4"/>
        <v>4.6288417828292641</v>
      </c>
      <c r="S26" s="156">
        <f t="shared" si="4"/>
        <v>4.855129715341139</v>
      </c>
      <c r="T26" s="191">
        <f t="shared" si="4"/>
        <v>4.5294358612838499</v>
      </c>
      <c r="U26" s="182">
        <f t="shared" si="4"/>
        <v>4.524309346005519</v>
      </c>
      <c r="V26" s="182">
        <f t="shared" si="4"/>
        <v>4.5132896469751049</v>
      </c>
      <c r="W26" s="156">
        <f t="shared" si="4"/>
        <v>4.7357685906912463</v>
      </c>
    </row>
    <row r="27" spans="2:27" ht="18" customHeight="1" thickBot="1" x14ac:dyDescent="0.35">
      <c r="B27" s="41"/>
      <c r="C27" s="42"/>
      <c r="D27" s="43"/>
      <c r="F27" s="213" t="s">
        <v>24</v>
      </c>
      <c r="G27" s="213"/>
      <c r="H27" s="213"/>
      <c r="I27" s="65"/>
      <c r="J27" s="217"/>
      <c r="K27" s="98">
        <v>140</v>
      </c>
      <c r="L27" s="185">
        <f t="shared" si="4"/>
        <v>4.1800056461376753</v>
      </c>
      <c r="M27" s="186">
        <f t="shared" si="4"/>
        <v>4.1766124181084905</v>
      </c>
      <c r="N27" s="186">
        <f t="shared" si="4"/>
        <v>4.1693037875404233</v>
      </c>
      <c r="O27" s="189">
        <f t="shared" si="4"/>
        <v>4.3902038161872978</v>
      </c>
      <c r="P27" s="185">
        <f t="shared" si="4"/>
        <v>4.0646380302064395</v>
      </c>
      <c r="Q27" s="186">
        <f t="shared" si="4"/>
        <v>4.0614575797816403</v>
      </c>
      <c r="R27" s="186">
        <f t="shared" si="4"/>
        <v>4.0546059823684768</v>
      </c>
      <c r="S27" s="158">
        <f t="shared" si="4"/>
        <v>4.2708126101418182</v>
      </c>
      <c r="T27" s="192">
        <f t="shared" si="4"/>
        <v>3.9610368189353169</v>
      </c>
      <c r="U27" s="186">
        <f t="shared" si="4"/>
        <v>3.9580362277094676</v>
      </c>
      <c r="V27" s="186">
        <f t="shared" si="4"/>
        <v>3.9515710816795391</v>
      </c>
      <c r="W27" s="158">
        <f t="shared" si="4"/>
        <v>4.1634328850760545</v>
      </c>
      <c r="X27" s="76"/>
      <c r="Y27" s="76"/>
      <c r="Z27" s="77"/>
      <c r="AA27" s="76"/>
    </row>
    <row r="28" spans="2:27" ht="18" customHeight="1" x14ac:dyDescent="0.25">
      <c r="B28" s="39"/>
      <c r="C28" s="40"/>
      <c r="D28" s="40"/>
      <c r="F28" s="30" t="s">
        <v>25</v>
      </c>
      <c r="J28" s="74"/>
      <c r="K28" s="75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</row>
    <row r="29" spans="2:27" ht="18" customHeight="1" x14ac:dyDescent="0.25">
      <c r="J29" s="208"/>
      <c r="K29" s="79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</row>
    <row r="30" spans="2:27" ht="18" customHeight="1" x14ac:dyDescent="0.25">
      <c r="J30" s="206"/>
      <c r="K30" s="79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</row>
    <row r="31" spans="2:27" ht="18" customHeight="1" x14ac:dyDescent="0.25">
      <c r="J31" s="206"/>
      <c r="K31" s="79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</row>
    <row r="32" spans="2:27" ht="18" customHeight="1" x14ac:dyDescent="0.25">
      <c r="J32" s="206"/>
      <c r="K32" s="79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</row>
    <row r="33" spans="10:27" ht="18" customHeight="1" x14ac:dyDescent="0.25">
      <c r="J33" s="81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0:27" ht="18" customHeight="1" x14ac:dyDescent="0.25">
      <c r="J34" s="208"/>
      <c r="K34" s="79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</row>
    <row r="35" spans="10:27" ht="18" customHeight="1" x14ac:dyDescent="0.25">
      <c r="J35" s="206"/>
      <c r="K35" s="79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</row>
    <row r="36" spans="10:27" ht="18" customHeight="1" x14ac:dyDescent="0.25">
      <c r="J36" s="206"/>
      <c r="K36" s="79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</row>
    <row r="37" spans="10:27" ht="18" customHeight="1" x14ac:dyDescent="0.25">
      <c r="J37" s="206"/>
      <c r="K37" s="79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</row>
    <row r="38" spans="10:27" ht="18" customHeight="1" x14ac:dyDescent="0.25"/>
    <row r="39" spans="10:27" ht="18" customHeight="1" x14ac:dyDescent="0.25"/>
    <row r="40" spans="10:27" ht="18" customHeight="1" x14ac:dyDescent="0.25"/>
    <row r="41" spans="10:27" ht="18" customHeight="1" x14ac:dyDescent="0.25"/>
    <row r="42" spans="10:27" ht="18" customHeight="1" x14ac:dyDescent="0.25"/>
    <row r="43" spans="10:27" ht="18" customHeight="1" x14ac:dyDescent="0.25"/>
    <row r="44" spans="10:27" ht="18" customHeight="1" x14ac:dyDescent="0.25"/>
    <row r="45" spans="10:27" ht="18" customHeight="1" x14ac:dyDescent="0.25"/>
    <row r="46" spans="10:27" ht="18" customHeight="1" x14ac:dyDescent="0.25"/>
    <row r="47" spans="10:27" ht="18" customHeight="1" x14ac:dyDescent="0.25"/>
  </sheetData>
  <sheetProtection algorithmName="SHA-512" hashValue="6ct2q5t/VZJDlT9fNrAe4enlWDfL6y64RNdG7NFmolOLiGqKVP5kKOE2r3v2Ge7jK43GQ47mBvfBaupoiBepjg==" saltValue="D8Km9P+WfqwxdZ2hyi/hYA==" spinCount="100000" sheet="1" objects="1" scenarios="1"/>
  <mergeCells count="9">
    <mergeCell ref="J29:J32"/>
    <mergeCell ref="J34:J37"/>
    <mergeCell ref="B1:D1"/>
    <mergeCell ref="B2:D2"/>
    <mergeCell ref="J15:K15"/>
    <mergeCell ref="J16:K16"/>
    <mergeCell ref="J17:J21"/>
    <mergeCell ref="J23:J27"/>
    <mergeCell ref="F27:H27"/>
  </mergeCells>
  <pageMargins left="0.39370078740157483" right="0" top="0.39370078740157483" bottom="0" header="0" footer="0"/>
  <pageSetup paperSize="9" scale="71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Chevron_120 vitrage</vt:lpstr>
      <vt:lpstr>Chevron_143_vitrage</vt:lpstr>
      <vt:lpstr>Chevron_120 plaque</vt:lpstr>
      <vt:lpstr>Chevron_143 plaque</vt:lpstr>
      <vt:lpstr>'Chevron_120 plaque'!Pente</vt:lpstr>
      <vt:lpstr>'Chevron_120 vitrage'!Pente</vt:lpstr>
      <vt:lpstr>'Chevron_143 plaque'!Pente</vt:lpstr>
      <vt:lpstr>Chevron_143_vitrage!Pente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d'Etudes</dc:creator>
  <cp:lastModifiedBy>Bart COUSSENS</cp:lastModifiedBy>
  <cp:lastPrinted>2019-12-19T12:36:44Z</cp:lastPrinted>
  <dcterms:created xsi:type="dcterms:W3CDTF">1999-01-14T13:32:56Z</dcterms:created>
  <dcterms:modified xsi:type="dcterms:W3CDTF">2021-02-18T09:16:55Z</dcterms:modified>
</cp:coreProperties>
</file>