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andriaalu-my.sharepoint.com/personal/bcoussens_flandria_com/Documents/Documents/Documents_Bart/DONNEES TOITURES/PATIO/INERTIES/CALCULS/CHENEAU/"/>
    </mc:Choice>
  </mc:AlternateContent>
  <xr:revisionPtr revIDLastSave="9" documentId="13_ncr:1_{E30DCD08-6F7C-4E49-A2D7-690E4173C884}" xr6:coauthVersionLast="46" xr6:coauthVersionMax="46" xr10:uidLastSave="{76FAECF4-FA03-4DE3-8F98-36E227E62C19}"/>
  <bookViews>
    <workbookView xWindow="-108" yWindow="-108" windowWidth="23256" windowHeight="12576" tabRatio="836" xr2:uid="{00000000-000D-0000-FFFF-FFFF00000000}"/>
  </bookViews>
  <sheets>
    <sheet name="PORTEE_renf 50x90x3 vitrage" sheetId="1" r:id="rId1"/>
    <sheet name="PORTEE_renf 10x100 vitrage" sheetId="3" r:id="rId2"/>
    <sheet name="PORTEE_renf 50x90x3 plaque" sheetId="4" r:id="rId3"/>
    <sheet name="PORTEE_renf 10x100 plaque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41" i="5" l="1"/>
  <c r="S53" i="5"/>
  <c r="T53" i="5"/>
  <c r="U53" i="5"/>
  <c r="V53" i="5"/>
  <c r="W53" i="5"/>
  <c r="X53" i="5"/>
  <c r="Y53" i="5"/>
  <c r="Z53" i="5"/>
  <c r="AA53" i="5"/>
  <c r="AB53" i="5"/>
  <c r="AC53" i="5"/>
  <c r="AD53" i="5"/>
  <c r="AE53" i="5"/>
  <c r="AF53" i="5"/>
  <c r="AG53" i="5"/>
  <c r="AH53" i="5"/>
  <c r="AI53" i="5"/>
  <c r="S54" i="5"/>
  <c r="T54" i="5"/>
  <c r="U54" i="5"/>
  <c r="V54" i="5"/>
  <c r="W54" i="5"/>
  <c r="X54" i="5"/>
  <c r="Y54" i="5"/>
  <c r="Z54" i="5"/>
  <c r="AA54" i="5"/>
  <c r="AB54" i="5"/>
  <c r="AC54" i="5"/>
  <c r="AD54" i="5"/>
  <c r="AE54" i="5"/>
  <c r="AF54" i="5"/>
  <c r="AG54" i="5"/>
  <c r="AH54" i="5"/>
  <c r="AI54" i="5"/>
  <c r="S55" i="5"/>
  <c r="T55" i="5"/>
  <c r="U55" i="5"/>
  <c r="V55" i="5"/>
  <c r="W55" i="5"/>
  <c r="X55" i="5"/>
  <c r="Y55" i="5"/>
  <c r="Z55" i="5"/>
  <c r="AA55" i="5"/>
  <c r="AB55" i="5"/>
  <c r="AC55" i="5"/>
  <c r="AD55" i="5"/>
  <c r="AE55" i="5"/>
  <c r="AF55" i="5"/>
  <c r="AG55" i="5"/>
  <c r="AH55" i="5"/>
  <c r="AI55" i="5"/>
  <c r="S56" i="5"/>
  <c r="T56" i="5"/>
  <c r="U56" i="5"/>
  <c r="V56" i="5"/>
  <c r="W56" i="5"/>
  <c r="X56" i="5"/>
  <c r="Y56" i="5"/>
  <c r="Z56" i="5"/>
  <c r="AA56" i="5"/>
  <c r="AB56" i="5"/>
  <c r="AC56" i="5"/>
  <c r="AD56" i="5"/>
  <c r="AE56" i="5"/>
  <c r="AF56" i="5"/>
  <c r="AG56" i="5"/>
  <c r="AH56" i="5"/>
  <c r="AI56" i="5"/>
  <c r="S57" i="5"/>
  <c r="T57" i="5"/>
  <c r="U57" i="5"/>
  <c r="V57" i="5"/>
  <c r="W57" i="5"/>
  <c r="X57" i="5"/>
  <c r="Y57" i="5"/>
  <c r="Z57" i="5"/>
  <c r="AA57" i="5"/>
  <c r="AB57" i="5"/>
  <c r="AC57" i="5"/>
  <c r="AD57" i="5"/>
  <c r="AE57" i="5"/>
  <c r="AF57" i="5"/>
  <c r="AG57" i="5"/>
  <c r="AH57" i="5"/>
  <c r="AI57" i="5"/>
  <c r="R54" i="5"/>
  <c r="R55" i="5"/>
  <c r="R56" i="5"/>
  <c r="R57" i="5"/>
  <c r="R53" i="5"/>
  <c r="S41" i="5"/>
  <c r="T41" i="5"/>
  <c r="U41" i="5"/>
  <c r="W41" i="5"/>
  <c r="X41" i="5"/>
  <c r="Y41" i="5"/>
  <c r="Z41" i="5"/>
  <c r="AA41" i="5"/>
  <c r="AB41" i="5"/>
  <c r="AC41" i="5"/>
  <c r="AD41" i="5"/>
  <c r="AE41" i="5"/>
  <c r="AF41" i="5"/>
  <c r="AG41" i="5"/>
  <c r="AH41" i="5"/>
  <c r="AI41" i="5"/>
  <c r="S42" i="5"/>
  <c r="T42" i="5"/>
  <c r="U42" i="5"/>
  <c r="V42" i="5"/>
  <c r="W42" i="5"/>
  <c r="X42" i="5"/>
  <c r="Y42" i="5"/>
  <c r="Z42" i="5"/>
  <c r="AA42" i="5"/>
  <c r="AB42" i="5"/>
  <c r="AC42" i="5"/>
  <c r="AD42" i="5"/>
  <c r="AE42" i="5"/>
  <c r="AF42" i="5"/>
  <c r="AG42" i="5"/>
  <c r="AH42" i="5"/>
  <c r="AI42" i="5"/>
  <c r="S43" i="5"/>
  <c r="T43" i="5"/>
  <c r="U43" i="5"/>
  <c r="V43" i="5"/>
  <c r="W43" i="5"/>
  <c r="X43" i="5"/>
  <c r="Y43" i="5"/>
  <c r="Z43" i="5"/>
  <c r="AA43" i="5"/>
  <c r="AB43" i="5"/>
  <c r="AC43" i="5"/>
  <c r="AD43" i="5"/>
  <c r="AE43" i="5"/>
  <c r="AF43" i="5"/>
  <c r="AG43" i="5"/>
  <c r="AH43" i="5"/>
  <c r="AI43" i="5"/>
  <c r="S44" i="5"/>
  <c r="T44" i="5"/>
  <c r="U44" i="5"/>
  <c r="V44" i="5"/>
  <c r="W44" i="5"/>
  <c r="X44" i="5"/>
  <c r="Y44" i="5"/>
  <c r="Z44" i="5"/>
  <c r="AA44" i="5"/>
  <c r="AB44" i="5"/>
  <c r="AC44" i="5"/>
  <c r="AD44" i="5"/>
  <c r="AE44" i="5"/>
  <c r="AF44" i="5"/>
  <c r="AG44" i="5"/>
  <c r="AH44" i="5"/>
  <c r="AI44" i="5"/>
  <c r="S45" i="5"/>
  <c r="T45" i="5"/>
  <c r="U45" i="5"/>
  <c r="V45" i="5"/>
  <c r="W45" i="5"/>
  <c r="X45" i="5"/>
  <c r="Y45" i="5"/>
  <c r="Z45" i="5"/>
  <c r="AA45" i="5"/>
  <c r="AB45" i="5"/>
  <c r="AC45" i="5"/>
  <c r="AD45" i="5"/>
  <c r="AE45" i="5"/>
  <c r="AF45" i="5"/>
  <c r="AG45" i="5"/>
  <c r="AH45" i="5"/>
  <c r="AI45" i="5"/>
  <c r="R42" i="5"/>
  <c r="R43" i="5"/>
  <c r="R44" i="5"/>
  <c r="R45" i="5"/>
  <c r="R41" i="5"/>
  <c r="S53" i="3"/>
  <c r="T53" i="3"/>
  <c r="U53" i="3"/>
  <c r="V53" i="3"/>
  <c r="W53" i="3"/>
  <c r="X53" i="3"/>
  <c r="Y53" i="3"/>
  <c r="Z53" i="3"/>
  <c r="AA53" i="3"/>
  <c r="AB53" i="3"/>
  <c r="AC53" i="3"/>
  <c r="AD53" i="3"/>
  <c r="AE53" i="3"/>
  <c r="AF53" i="3"/>
  <c r="AG53" i="3"/>
  <c r="AH53" i="3"/>
  <c r="AI53" i="3"/>
  <c r="S54" i="3"/>
  <c r="T54" i="3"/>
  <c r="U54" i="3"/>
  <c r="V54" i="3"/>
  <c r="W54" i="3"/>
  <c r="X54" i="3"/>
  <c r="Y54" i="3"/>
  <c r="Z54" i="3"/>
  <c r="AA54" i="3"/>
  <c r="AB54" i="3"/>
  <c r="AC54" i="3"/>
  <c r="AD54" i="3"/>
  <c r="AE54" i="3"/>
  <c r="AF54" i="3"/>
  <c r="AG54" i="3"/>
  <c r="AH54" i="3"/>
  <c r="AI54" i="3"/>
  <c r="S55" i="3"/>
  <c r="T55" i="3"/>
  <c r="U55" i="3"/>
  <c r="V55" i="3"/>
  <c r="W55" i="3"/>
  <c r="X55" i="3"/>
  <c r="Y55" i="3"/>
  <c r="Z55" i="3"/>
  <c r="AA55" i="3"/>
  <c r="AB55" i="3"/>
  <c r="AC55" i="3"/>
  <c r="AD55" i="3"/>
  <c r="AE55" i="3"/>
  <c r="AF55" i="3"/>
  <c r="AG55" i="3"/>
  <c r="AH55" i="3"/>
  <c r="AI55" i="3"/>
  <c r="S56" i="3"/>
  <c r="T56" i="3"/>
  <c r="U56" i="3"/>
  <c r="V56" i="3"/>
  <c r="W56" i="3"/>
  <c r="X56" i="3"/>
  <c r="Y56" i="3"/>
  <c r="Z56" i="3"/>
  <c r="AA56" i="3"/>
  <c r="AB56" i="3"/>
  <c r="AC56" i="3"/>
  <c r="AD56" i="3"/>
  <c r="AE56" i="3"/>
  <c r="AF56" i="3"/>
  <c r="AG56" i="3"/>
  <c r="AH56" i="3"/>
  <c r="AI56" i="3"/>
  <c r="S57" i="3"/>
  <c r="T57" i="3"/>
  <c r="U57" i="3"/>
  <c r="V57" i="3"/>
  <c r="W57" i="3"/>
  <c r="X57" i="3"/>
  <c r="Y57" i="3"/>
  <c r="Z57" i="3"/>
  <c r="AA57" i="3"/>
  <c r="AB57" i="3"/>
  <c r="AC57" i="3"/>
  <c r="AD57" i="3"/>
  <c r="AE57" i="3"/>
  <c r="AF57" i="3"/>
  <c r="AG57" i="3"/>
  <c r="AH57" i="3"/>
  <c r="AI57" i="3"/>
  <c r="R54" i="3"/>
  <c r="R55" i="3"/>
  <c r="R56" i="3"/>
  <c r="R57" i="3"/>
  <c r="R53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AI43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R42" i="3"/>
  <c r="R43" i="3"/>
  <c r="R44" i="3"/>
  <c r="R45" i="3"/>
  <c r="R41" i="3"/>
  <c r="J19" i="5" l="1"/>
  <c r="J20" i="5" s="1"/>
  <c r="J18" i="5"/>
  <c r="J17" i="5"/>
  <c r="J16" i="5"/>
  <c r="J15" i="5"/>
  <c r="E15" i="5"/>
  <c r="J21" i="5" s="1"/>
  <c r="J14" i="5"/>
  <c r="J13" i="5"/>
  <c r="H13" i="5"/>
  <c r="H4" i="5"/>
  <c r="J19" i="4"/>
  <c r="J20" i="4" s="1"/>
  <c r="J18" i="4"/>
  <c r="J17" i="4"/>
  <c r="J16" i="4"/>
  <c r="J15" i="4"/>
  <c r="E15" i="4"/>
  <c r="J21" i="4" s="1"/>
  <c r="J14" i="4"/>
  <c r="J13" i="4"/>
  <c r="H13" i="4"/>
  <c r="H4" i="4"/>
  <c r="R35" i="4" l="1"/>
  <c r="R41" i="4"/>
  <c r="S41" i="4"/>
  <c r="AA41" i="4"/>
  <c r="AI41" i="4"/>
  <c r="Z42" i="4"/>
  <c r="AH42" i="4"/>
  <c r="Y43" i="4"/>
  <c r="AG43" i="4"/>
  <c r="X44" i="4"/>
  <c r="AF44" i="4"/>
  <c r="W45" i="4"/>
  <c r="AE45" i="4"/>
  <c r="R45" i="4"/>
  <c r="W43" i="4"/>
  <c r="R43" i="4"/>
  <c r="T41" i="4"/>
  <c r="AB41" i="4"/>
  <c r="S42" i="4"/>
  <c r="AA42" i="4"/>
  <c r="AI42" i="4"/>
  <c r="Z43" i="4"/>
  <c r="AH43" i="4"/>
  <c r="Y44" i="4"/>
  <c r="AG44" i="4"/>
  <c r="X45" i="4"/>
  <c r="AF45" i="4"/>
  <c r="V44" i="4"/>
  <c r="U41" i="4"/>
  <c r="AC41" i="4"/>
  <c r="T42" i="4"/>
  <c r="AB42" i="4"/>
  <c r="S43" i="4"/>
  <c r="AA43" i="4"/>
  <c r="AI43" i="4"/>
  <c r="Z44" i="4"/>
  <c r="AH44" i="4"/>
  <c r="Y45" i="4"/>
  <c r="AG45" i="4"/>
  <c r="Y41" i="4"/>
  <c r="AD44" i="4"/>
  <c r="V41" i="4"/>
  <c r="AD41" i="4"/>
  <c r="U42" i="4"/>
  <c r="AC42" i="4"/>
  <c r="T43" i="4"/>
  <c r="AB43" i="4"/>
  <c r="S44" i="4"/>
  <c r="AA44" i="4"/>
  <c r="AI44" i="4"/>
  <c r="Z45" i="4"/>
  <c r="AH45" i="4"/>
  <c r="X42" i="4"/>
  <c r="W41" i="4"/>
  <c r="AE41" i="4"/>
  <c r="V42" i="4"/>
  <c r="AD42" i="4"/>
  <c r="U43" i="4"/>
  <c r="AC43" i="4"/>
  <c r="T44" i="4"/>
  <c r="AB44" i="4"/>
  <c r="S45" i="4"/>
  <c r="AA45" i="4"/>
  <c r="AI45" i="4"/>
  <c r="AE43" i="4"/>
  <c r="X41" i="4"/>
  <c r="AF41" i="4"/>
  <c r="W42" i="4"/>
  <c r="AE42" i="4"/>
  <c r="V43" i="4"/>
  <c r="AD43" i="4"/>
  <c r="U44" i="4"/>
  <c r="AC44" i="4"/>
  <c r="T45" i="4"/>
  <c r="AB45" i="4"/>
  <c r="R42" i="4"/>
  <c r="AG41" i="4"/>
  <c r="U45" i="4"/>
  <c r="Z41" i="4"/>
  <c r="AH41" i="4"/>
  <c r="Y42" i="4"/>
  <c r="AG42" i="4"/>
  <c r="X43" i="4"/>
  <c r="AF43" i="4"/>
  <c r="W44" i="4"/>
  <c r="AE44" i="4"/>
  <c r="V45" i="4"/>
  <c r="AD45" i="4"/>
  <c r="R44" i="4"/>
  <c r="AF42" i="4"/>
  <c r="AC45" i="4"/>
  <c r="T37" i="4"/>
  <c r="R39" i="5"/>
  <c r="Z39" i="5"/>
  <c r="AH39" i="5"/>
  <c r="S39" i="5"/>
  <c r="AA39" i="5"/>
  <c r="AI39" i="5"/>
  <c r="Y39" i="5"/>
  <c r="T39" i="5"/>
  <c r="AB39" i="5"/>
  <c r="AG39" i="5"/>
  <c r="U39" i="5"/>
  <c r="AC39" i="5"/>
  <c r="V39" i="5"/>
  <c r="AD39" i="5"/>
  <c r="AE39" i="5"/>
  <c r="AF39" i="5"/>
  <c r="W39" i="5"/>
  <c r="X39" i="5"/>
  <c r="E27" i="4"/>
  <c r="E25" i="4"/>
  <c r="E40" i="4" s="1"/>
  <c r="E29" i="4"/>
  <c r="E23" i="4"/>
  <c r="E34" i="4" s="1"/>
  <c r="X39" i="4"/>
  <c r="AF39" i="4"/>
  <c r="Y39" i="4"/>
  <c r="AG39" i="4"/>
  <c r="S39" i="4"/>
  <c r="AA39" i="4"/>
  <c r="AI39" i="4"/>
  <c r="AC39" i="4"/>
  <c r="AD39" i="4"/>
  <c r="AE39" i="4"/>
  <c r="Z39" i="4"/>
  <c r="T39" i="4"/>
  <c r="AB39" i="4"/>
  <c r="U39" i="4"/>
  <c r="V39" i="4"/>
  <c r="W39" i="4"/>
  <c r="R39" i="4"/>
  <c r="AH39" i="4"/>
  <c r="E29" i="5"/>
  <c r="E52" i="5" s="1"/>
  <c r="E27" i="5"/>
  <c r="E25" i="5"/>
  <c r="E40" i="5" s="1"/>
  <c r="E23" i="5"/>
  <c r="E34" i="5" s="1"/>
  <c r="AE35" i="5"/>
  <c r="X35" i="4"/>
  <c r="Y35" i="4"/>
  <c r="AF35" i="4"/>
  <c r="AA36" i="5"/>
  <c r="U37" i="4"/>
  <c r="W35" i="5"/>
  <c r="Y37" i="5"/>
  <c r="AC36" i="5"/>
  <c r="U35" i="5"/>
  <c r="AI36" i="5"/>
  <c r="AC35" i="5"/>
  <c r="AH37" i="5"/>
  <c r="S36" i="5"/>
  <c r="U36" i="5"/>
  <c r="Z38" i="5"/>
  <c r="S37" i="5"/>
  <c r="AA37" i="5"/>
  <c r="AD38" i="5"/>
  <c r="AF35" i="5"/>
  <c r="V36" i="5"/>
  <c r="AD36" i="5"/>
  <c r="T37" i="5"/>
  <c r="AB37" i="5"/>
  <c r="X35" i="5"/>
  <c r="AE38" i="5"/>
  <c r="Y35" i="5"/>
  <c r="AG35" i="5"/>
  <c r="W36" i="5"/>
  <c r="AE36" i="5"/>
  <c r="U37" i="5"/>
  <c r="AC37" i="5"/>
  <c r="R38" i="5"/>
  <c r="AH38" i="5"/>
  <c r="R35" i="5"/>
  <c r="Z35" i="5"/>
  <c r="AH35" i="5"/>
  <c r="X36" i="5"/>
  <c r="AF36" i="5"/>
  <c r="V37" i="5"/>
  <c r="AD37" i="5"/>
  <c r="S38" i="5"/>
  <c r="AI38" i="5"/>
  <c r="S35" i="5"/>
  <c r="AA35" i="5"/>
  <c r="AI35" i="5"/>
  <c r="Y36" i="5"/>
  <c r="AG36" i="5"/>
  <c r="W37" i="5"/>
  <c r="AE37" i="5"/>
  <c r="V38" i="5"/>
  <c r="T35" i="5"/>
  <c r="AB35" i="5"/>
  <c r="R36" i="5"/>
  <c r="Z36" i="5"/>
  <c r="AH36" i="5"/>
  <c r="X37" i="5"/>
  <c r="AF37" i="5"/>
  <c r="W38" i="5"/>
  <c r="V35" i="5"/>
  <c r="AD35" i="5"/>
  <c r="T36" i="5"/>
  <c r="AB36" i="5"/>
  <c r="R37" i="5"/>
  <c r="Z37" i="5"/>
  <c r="AI37" i="5"/>
  <c r="AA38" i="5"/>
  <c r="AB37" i="4"/>
  <c r="AC37" i="4"/>
  <c r="AG35" i="4"/>
  <c r="AB36" i="4"/>
  <c r="Y38" i="4"/>
  <c r="V36" i="4"/>
  <c r="W36" i="4"/>
  <c r="AD36" i="4"/>
  <c r="AE36" i="4"/>
  <c r="AG38" i="4"/>
  <c r="G27" i="5"/>
  <c r="G29" i="5"/>
  <c r="G23" i="5"/>
  <c r="G25" i="5"/>
  <c r="T38" i="5"/>
  <c r="AB38" i="5"/>
  <c r="H14" i="5"/>
  <c r="AG37" i="5"/>
  <c r="U38" i="5"/>
  <c r="AC38" i="5"/>
  <c r="X38" i="5"/>
  <c r="AF38" i="5"/>
  <c r="Y38" i="5"/>
  <c r="AG38" i="5"/>
  <c r="S35" i="4"/>
  <c r="AA35" i="4"/>
  <c r="AI35" i="4"/>
  <c r="Y36" i="4"/>
  <c r="AG36" i="4"/>
  <c r="W37" i="4"/>
  <c r="AE37" i="4"/>
  <c r="S38" i="4"/>
  <c r="AA38" i="4"/>
  <c r="AI38" i="4"/>
  <c r="T35" i="4"/>
  <c r="AB35" i="4"/>
  <c r="R36" i="4"/>
  <c r="Z36" i="4"/>
  <c r="AH36" i="4"/>
  <c r="X37" i="4"/>
  <c r="AF37" i="4"/>
  <c r="T38" i="4"/>
  <c r="AB38" i="4"/>
  <c r="H14" i="4"/>
  <c r="Z35" i="4"/>
  <c r="AF36" i="4"/>
  <c r="R38" i="4"/>
  <c r="U35" i="4"/>
  <c r="AC35" i="4"/>
  <c r="S36" i="4"/>
  <c r="AA36" i="4"/>
  <c r="AI36" i="4"/>
  <c r="Y37" i="4"/>
  <c r="AG37" i="4"/>
  <c r="U38" i="4"/>
  <c r="AC38" i="4"/>
  <c r="X36" i="4"/>
  <c r="AD37" i="4"/>
  <c r="AH38" i="4"/>
  <c r="AH35" i="4"/>
  <c r="V37" i="4"/>
  <c r="Z38" i="4"/>
  <c r="V35" i="4"/>
  <c r="AD35" i="4"/>
  <c r="T36" i="4"/>
  <c r="R37" i="4"/>
  <c r="Z37" i="4"/>
  <c r="AH37" i="4"/>
  <c r="V38" i="4"/>
  <c r="AD38" i="4"/>
  <c r="W35" i="4"/>
  <c r="AE35" i="4"/>
  <c r="U36" i="4"/>
  <c r="AC36" i="4"/>
  <c r="S37" i="4"/>
  <c r="AA37" i="4"/>
  <c r="AI37" i="4"/>
  <c r="W38" i="4"/>
  <c r="AE38" i="4"/>
  <c r="X38" i="4"/>
  <c r="AF38" i="4"/>
  <c r="U53" i="4" l="1"/>
  <c r="AC53" i="4"/>
  <c r="T54" i="4"/>
  <c r="AB54" i="4"/>
  <c r="S55" i="4"/>
  <c r="AA55" i="4"/>
  <c r="AI55" i="4"/>
  <c r="Z56" i="4"/>
  <c r="AH56" i="4"/>
  <c r="Y57" i="4"/>
  <c r="AG57" i="4"/>
  <c r="AA53" i="4"/>
  <c r="X56" i="4"/>
  <c r="V53" i="4"/>
  <c r="AD53" i="4"/>
  <c r="U54" i="4"/>
  <c r="AC54" i="4"/>
  <c r="T55" i="4"/>
  <c r="AB55" i="4"/>
  <c r="S56" i="4"/>
  <c r="AA56" i="4"/>
  <c r="AI56" i="4"/>
  <c r="Z57" i="4"/>
  <c r="AH57" i="4"/>
  <c r="S53" i="4"/>
  <c r="AE57" i="4"/>
  <c r="W53" i="4"/>
  <c r="AE53" i="4"/>
  <c r="V54" i="4"/>
  <c r="AD54" i="4"/>
  <c r="U55" i="4"/>
  <c r="AC55" i="4"/>
  <c r="T56" i="4"/>
  <c r="AB56" i="4"/>
  <c r="S57" i="4"/>
  <c r="AA57" i="4"/>
  <c r="AI57" i="4"/>
  <c r="E52" i="4"/>
  <c r="AG55" i="4"/>
  <c r="X53" i="4"/>
  <c r="AF53" i="4"/>
  <c r="W54" i="4"/>
  <c r="AE54" i="4"/>
  <c r="V55" i="4"/>
  <c r="AD55" i="4"/>
  <c r="U56" i="4"/>
  <c r="AC56" i="4"/>
  <c r="T57" i="4"/>
  <c r="AB57" i="4"/>
  <c r="R54" i="4"/>
  <c r="AH54" i="4"/>
  <c r="Y53" i="4"/>
  <c r="AG53" i="4"/>
  <c r="X54" i="4"/>
  <c r="AF54" i="4"/>
  <c r="W55" i="4"/>
  <c r="AE55" i="4"/>
  <c r="V56" i="4"/>
  <c r="AD56" i="4"/>
  <c r="U57" i="4"/>
  <c r="AC57" i="4"/>
  <c r="R55" i="4"/>
  <c r="Z54" i="4"/>
  <c r="R57" i="4"/>
  <c r="Z53" i="4"/>
  <c r="AH53" i="4"/>
  <c r="Y54" i="4"/>
  <c r="AG54" i="4"/>
  <c r="X55" i="4"/>
  <c r="AF55" i="4"/>
  <c r="W56" i="4"/>
  <c r="AE56" i="4"/>
  <c r="V57" i="4"/>
  <c r="AD57" i="4"/>
  <c r="R56" i="4"/>
  <c r="AI53" i="4"/>
  <c r="AF56" i="4"/>
  <c r="T53" i="4"/>
  <c r="AB53" i="4"/>
  <c r="S54" i="4"/>
  <c r="AA54" i="4"/>
  <c r="AI54" i="4"/>
  <c r="Z55" i="4"/>
  <c r="AH55" i="4"/>
  <c r="Y56" i="4"/>
  <c r="AG56" i="4"/>
  <c r="X57" i="4"/>
  <c r="AF57" i="4"/>
  <c r="R53" i="4"/>
  <c r="Y55" i="4"/>
  <c r="W57" i="4"/>
  <c r="V51" i="5"/>
  <c r="AD51" i="5"/>
  <c r="U51" i="5"/>
  <c r="W51" i="5"/>
  <c r="AE51" i="5"/>
  <c r="AA51" i="5"/>
  <c r="T51" i="5"/>
  <c r="X51" i="5"/>
  <c r="AF51" i="5"/>
  <c r="S51" i="5"/>
  <c r="AB51" i="5"/>
  <c r="Y51" i="5"/>
  <c r="AG51" i="5"/>
  <c r="R51" i="5"/>
  <c r="Z51" i="5"/>
  <c r="AH51" i="5"/>
  <c r="AI51" i="5"/>
  <c r="AC51" i="5"/>
  <c r="E46" i="5"/>
  <c r="W51" i="4"/>
  <c r="AE51" i="4"/>
  <c r="X51" i="4"/>
  <c r="AF51" i="4"/>
  <c r="Z51" i="4"/>
  <c r="AH51" i="4"/>
  <c r="T51" i="4"/>
  <c r="AC51" i="4"/>
  <c r="AD51" i="4"/>
  <c r="Y51" i="4"/>
  <c r="S51" i="4"/>
  <c r="AA51" i="4"/>
  <c r="AI51" i="4"/>
  <c r="AB51" i="4"/>
  <c r="R51" i="4"/>
  <c r="E46" i="4"/>
  <c r="U51" i="4"/>
  <c r="V51" i="4"/>
  <c r="AG51" i="4"/>
  <c r="AC50" i="5"/>
  <c r="U50" i="5"/>
  <c r="AG49" i="5"/>
  <c r="Y49" i="5"/>
  <c r="AB48" i="5"/>
  <c r="T48" i="5"/>
  <c r="AE47" i="5"/>
  <c r="W47" i="5"/>
  <c r="AB50" i="5"/>
  <c r="T50" i="5"/>
  <c r="AF49" i="5"/>
  <c r="X49" i="5"/>
  <c r="AI48" i="5"/>
  <c r="AA48" i="5"/>
  <c r="S48" i="5"/>
  <c r="AD47" i="5"/>
  <c r="V47" i="5"/>
  <c r="AI50" i="5"/>
  <c r="AA50" i="5"/>
  <c r="S50" i="5"/>
  <c r="AE49" i="5"/>
  <c r="W49" i="5"/>
  <c r="AH48" i="5"/>
  <c r="Z48" i="5"/>
  <c r="R48" i="5"/>
  <c r="AC47" i="5"/>
  <c r="U47" i="5"/>
  <c r="AH50" i="5"/>
  <c r="Z50" i="5"/>
  <c r="R50" i="5"/>
  <c r="AD49" i="5"/>
  <c r="V49" i="5"/>
  <c r="AG48" i="5"/>
  <c r="Y48" i="5"/>
  <c r="AB47" i="5"/>
  <c r="T47" i="5"/>
  <c r="AG50" i="5"/>
  <c r="Y50" i="5"/>
  <c r="AC49" i="5"/>
  <c r="U49" i="5"/>
  <c r="AF48" i="5"/>
  <c r="X48" i="5"/>
  <c r="AI47" i="5"/>
  <c r="AA47" i="5"/>
  <c r="S47" i="5"/>
  <c r="X47" i="5"/>
  <c r="AF50" i="5"/>
  <c r="X50" i="5"/>
  <c r="AB49" i="5"/>
  <c r="T49" i="5"/>
  <c r="AE48" i="5"/>
  <c r="W48" i="5"/>
  <c r="AH47" i="5"/>
  <c r="Z47" i="5"/>
  <c r="R47" i="5"/>
  <c r="AD50" i="5"/>
  <c r="V50" i="5"/>
  <c r="Z49" i="5"/>
  <c r="AC48" i="5"/>
  <c r="AF47" i="5"/>
  <c r="AE50" i="5"/>
  <c r="W50" i="5"/>
  <c r="AI49" i="5"/>
  <c r="AA49" i="5"/>
  <c r="S49" i="5"/>
  <c r="AD48" i="5"/>
  <c r="V48" i="5"/>
  <c r="AG47" i="5"/>
  <c r="Y47" i="5"/>
  <c r="AH49" i="5"/>
  <c r="R49" i="5"/>
  <c r="U48" i="5"/>
  <c r="AI50" i="4"/>
  <c r="AA50" i="4"/>
  <c r="S50" i="4"/>
  <c r="AE49" i="4"/>
  <c r="W49" i="4"/>
  <c r="AH48" i="4"/>
  <c r="Z48" i="4"/>
  <c r="R48" i="4"/>
  <c r="AC47" i="4"/>
  <c r="U47" i="4"/>
  <c r="AH50" i="4"/>
  <c r="Z50" i="4"/>
  <c r="R50" i="4"/>
  <c r="AD49" i="4"/>
  <c r="V49" i="4"/>
  <c r="AG48" i="4"/>
  <c r="Y48" i="4"/>
  <c r="AB47" i="4"/>
  <c r="T47" i="4"/>
  <c r="AG49" i="4"/>
  <c r="AB48" i="4"/>
  <c r="AF49" i="4"/>
  <c r="AG50" i="4"/>
  <c r="Y50" i="4"/>
  <c r="AC49" i="4"/>
  <c r="U49" i="4"/>
  <c r="AF48" i="4"/>
  <c r="X48" i="4"/>
  <c r="AI47" i="4"/>
  <c r="AA47" i="4"/>
  <c r="S47" i="4"/>
  <c r="T48" i="4"/>
  <c r="X49" i="4"/>
  <c r="AD47" i="4"/>
  <c r="AF50" i="4"/>
  <c r="X50" i="4"/>
  <c r="AB49" i="4"/>
  <c r="T49" i="4"/>
  <c r="AE48" i="4"/>
  <c r="W48" i="4"/>
  <c r="AH47" i="4"/>
  <c r="Z47" i="4"/>
  <c r="R47" i="4"/>
  <c r="AC50" i="4"/>
  <c r="U50" i="4"/>
  <c r="W47" i="4"/>
  <c r="S48" i="4"/>
  <c r="AE50" i="4"/>
  <c r="W50" i="4"/>
  <c r="AI49" i="4"/>
  <c r="AA49" i="4"/>
  <c r="S49" i="4"/>
  <c r="AD48" i="4"/>
  <c r="V48" i="4"/>
  <c r="AG47" i="4"/>
  <c r="Y47" i="4"/>
  <c r="Y49" i="4"/>
  <c r="AE47" i="4"/>
  <c r="T50" i="4"/>
  <c r="AA48" i="4"/>
  <c r="AD50" i="4"/>
  <c r="V50" i="4"/>
  <c r="AH49" i="4"/>
  <c r="Z49" i="4"/>
  <c r="R49" i="4"/>
  <c r="AC48" i="4"/>
  <c r="U48" i="4"/>
  <c r="AF47" i="4"/>
  <c r="X47" i="4"/>
  <c r="AB50" i="4"/>
  <c r="AI48" i="4"/>
  <c r="V47" i="4"/>
  <c r="J19" i="1"/>
  <c r="J20" i="1" s="1"/>
  <c r="H13" i="1"/>
  <c r="H4" i="1"/>
  <c r="H4" i="3"/>
  <c r="J19" i="3"/>
  <c r="J20" i="3" s="1"/>
  <c r="J14" i="3"/>
  <c r="J15" i="3"/>
  <c r="J16" i="3"/>
  <c r="J17" i="3"/>
  <c r="J18" i="3"/>
  <c r="J13" i="3"/>
  <c r="J14" i="1"/>
  <c r="J15" i="1"/>
  <c r="J16" i="1"/>
  <c r="J17" i="1"/>
  <c r="J18" i="1"/>
  <c r="J13" i="1"/>
  <c r="H13" i="3"/>
  <c r="E15" i="3"/>
  <c r="J21" i="3" s="1"/>
  <c r="E15" i="1"/>
  <c r="J21" i="1" s="1"/>
  <c r="V41" i="1" l="1"/>
  <c r="T43" i="1"/>
  <c r="AA44" i="1"/>
  <c r="AD42" i="1"/>
  <c r="S45" i="1"/>
  <c r="Y43" i="1"/>
  <c r="U42" i="1"/>
  <c r="S44" i="1"/>
  <c r="Z45" i="1"/>
  <c r="AE41" i="1"/>
  <c r="AB44" i="1"/>
  <c r="AI45" i="1"/>
  <c r="AA41" i="1"/>
  <c r="X44" i="1"/>
  <c r="AE45" i="1"/>
  <c r="V42" i="1"/>
  <c r="U43" i="1"/>
  <c r="T44" i="1"/>
  <c r="AG43" i="1"/>
  <c r="X41" i="1"/>
  <c r="AF41" i="1"/>
  <c r="W42" i="1"/>
  <c r="AE42" i="1"/>
  <c r="V43" i="1"/>
  <c r="AD43" i="1"/>
  <c r="U44" i="1"/>
  <c r="AC44" i="1"/>
  <c r="T45" i="1"/>
  <c r="AB45" i="1"/>
  <c r="R42" i="1"/>
  <c r="AI41" i="1"/>
  <c r="R45" i="1"/>
  <c r="Y41" i="1"/>
  <c r="AG41" i="1"/>
  <c r="X42" i="1"/>
  <c r="AF42" i="1"/>
  <c r="W43" i="1"/>
  <c r="AE43" i="1"/>
  <c r="V44" i="1"/>
  <c r="AD44" i="1"/>
  <c r="U45" i="1"/>
  <c r="AC45" i="1"/>
  <c r="R43" i="1"/>
  <c r="Z41" i="1"/>
  <c r="AH41" i="1"/>
  <c r="Y42" i="1"/>
  <c r="AG42" i="1"/>
  <c r="X43" i="1"/>
  <c r="AF43" i="1"/>
  <c r="W44" i="1"/>
  <c r="AE44" i="1"/>
  <c r="V45" i="1"/>
  <c r="AD45" i="1"/>
  <c r="R44" i="1"/>
  <c r="Z42" i="1"/>
  <c r="AF44" i="1"/>
  <c r="AH42" i="1"/>
  <c r="T41" i="1"/>
  <c r="AB41" i="1"/>
  <c r="S42" i="1"/>
  <c r="AA42" i="1"/>
  <c r="AI42" i="1"/>
  <c r="Z43" i="1"/>
  <c r="AH43" i="1"/>
  <c r="Y44" i="1"/>
  <c r="AG44" i="1"/>
  <c r="X45" i="1"/>
  <c r="AF45" i="1"/>
  <c r="R41" i="1"/>
  <c r="U41" i="1"/>
  <c r="AC41" i="1"/>
  <c r="T42" i="1"/>
  <c r="AB42" i="1"/>
  <c r="S43" i="1"/>
  <c r="AA43" i="1"/>
  <c r="AI43" i="1"/>
  <c r="Z44" i="1"/>
  <c r="AH44" i="1"/>
  <c r="Y45" i="1"/>
  <c r="AG45" i="1"/>
  <c r="AD41" i="1"/>
  <c r="AC42" i="1"/>
  <c r="AB43" i="1"/>
  <c r="AI44" i="1"/>
  <c r="AH45" i="1"/>
  <c r="W41" i="1"/>
  <c r="AC43" i="1"/>
  <c r="AA45" i="1"/>
  <c r="S41" i="1"/>
  <c r="W45" i="1"/>
  <c r="E29" i="3"/>
  <c r="E52" i="3" s="1"/>
  <c r="E27" i="3"/>
  <c r="E25" i="3"/>
  <c r="E40" i="3" s="1"/>
  <c r="E23" i="3"/>
  <c r="E34" i="3" s="1"/>
  <c r="R39" i="3"/>
  <c r="Z39" i="3"/>
  <c r="AH39" i="3"/>
  <c r="S39" i="3"/>
  <c r="AA39" i="3"/>
  <c r="AI39" i="3"/>
  <c r="V39" i="3"/>
  <c r="Y39" i="3"/>
  <c r="T39" i="3"/>
  <c r="AB39" i="3"/>
  <c r="AD39" i="3"/>
  <c r="U39" i="3"/>
  <c r="AC39" i="3"/>
  <c r="AG39" i="3"/>
  <c r="W39" i="3"/>
  <c r="AE39" i="3"/>
  <c r="X39" i="3"/>
  <c r="AF39" i="3"/>
  <c r="V39" i="1"/>
  <c r="AD39" i="1"/>
  <c r="AH39" i="1"/>
  <c r="W39" i="1"/>
  <c r="AE39" i="1"/>
  <c r="Y39" i="1"/>
  <c r="Z39" i="1"/>
  <c r="AC39" i="1"/>
  <c r="X39" i="1"/>
  <c r="AF39" i="1"/>
  <c r="AG39" i="1"/>
  <c r="R39" i="1"/>
  <c r="U39" i="1"/>
  <c r="S39" i="1"/>
  <c r="AA39" i="1"/>
  <c r="AI39" i="1"/>
  <c r="T39" i="1"/>
  <c r="AB39" i="1"/>
  <c r="E29" i="1"/>
  <c r="E27" i="1"/>
  <c r="E25" i="1"/>
  <c r="E40" i="1" s="1"/>
  <c r="E23" i="1"/>
  <c r="E34" i="1" s="1"/>
  <c r="R35" i="3"/>
  <c r="R35" i="1"/>
  <c r="AI36" i="1"/>
  <c r="R36" i="1"/>
  <c r="AH38" i="1"/>
  <c r="AB37" i="1"/>
  <c r="V36" i="1"/>
  <c r="T35" i="1"/>
  <c r="AF38" i="1"/>
  <c r="Y37" i="1"/>
  <c r="U36" i="1"/>
  <c r="AD38" i="1"/>
  <c r="U37" i="1"/>
  <c r="S36" i="1"/>
  <c r="H14" i="1"/>
  <c r="AA38" i="1"/>
  <c r="T37" i="1"/>
  <c r="AH35" i="1"/>
  <c r="X38" i="1"/>
  <c r="AG35" i="1"/>
  <c r="S38" i="1"/>
  <c r="AG36" i="1"/>
  <c r="AC35" i="1"/>
  <c r="AE37" i="1"/>
  <c r="AF36" i="1"/>
  <c r="W35" i="1"/>
  <c r="AI38" i="1"/>
  <c r="AD37" i="1"/>
  <c r="Z36" i="1"/>
  <c r="V35" i="1"/>
  <c r="AC38" i="1"/>
  <c r="Z37" i="1"/>
  <c r="AA36" i="1"/>
  <c r="AE35" i="1"/>
  <c r="R38" i="1"/>
  <c r="Y38" i="1"/>
  <c r="W37" i="1"/>
  <c r="X36" i="1"/>
  <c r="AB35" i="1"/>
  <c r="H14" i="3"/>
  <c r="R49" i="3" s="1"/>
  <c r="X36" i="3"/>
  <c r="U37" i="3"/>
  <c r="Y38" i="3"/>
  <c r="AH35" i="3"/>
  <c r="S38" i="3"/>
  <c r="AI37" i="3"/>
  <c r="AF36" i="3"/>
  <c r="AB35" i="3"/>
  <c r="AH38" i="3"/>
  <c r="AD37" i="3"/>
  <c r="AE36" i="3"/>
  <c r="AA35" i="3"/>
  <c r="AG38" i="3"/>
  <c r="AC37" i="3"/>
  <c r="Z36" i="3"/>
  <c r="U35" i="3"/>
  <c r="AF38" i="3"/>
  <c r="AB37" i="3"/>
  <c r="Y36" i="3"/>
  <c r="T35" i="3"/>
  <c r="AB49" i="3"/>
  <c r="AI48" i="3"/>
  <c r="X38" i="3"/>
  <c r="AG35" i="3"/>
  <c r="R38" i="3"/>
  <c r="AD38" i="3"/>
  <c r="W38" i="3"/>
  <c r="AG37" i="3"/>
  <c r="Z37" i="3"/>
  <c r="S37" i="3"/>
  <c r="AC36" i="3"/>
  <c r="V36" i="3"/>
  <c r="Y35" i="3"/>
  <c r="R36" i="3"/>
  <c r="AC38" i="3"/>
  <c r="AF37" i="3"/>
  <c r="Y37" i="3"/>
  <c r="AB36" i="3"/>
  <c r="U36" i="3"/>
  <c r="AF35" i="3"/>
  <c r="X35" i="3"/>
  <c r="S35" i="3"/>
  <c r="AD35" i="3"/>
  <c r="AI35" i="3"/>
  <c r="W36" i="3"/>
  <c r="AH36" i="3"/>
  <c r="V37" i="3"/>
  <c r="AA37" i="3"/>
  <c r="Z38" i="3"/>
  <c r="AE38" i="3"/>
  <c r="R37" i="3"/>
  <c r="Z35" i="3"/>
  <c r="AE35" i="3"/>
  <c r="S36" i="3"/>
  <c r="AD36" i="3"/>
  <c r="AI36" i="3"/>
  <c r="W37" i="3"/>
  <c r="AH37" i="3"/>
  <c r="V38" i="3"/>
  <c r="AA38" i="3"/>
  <c r="T37" i="3"/>
  <c r="Z49" i="3"/>
  <c r="AG47" i="3"/>
  <c r="AI38" i="3"/>
  <c r="U38" i="3"/>
  <c r="AE37" i="3"/>
  <c r="AA36" i="3"/>
  <c r="W35" i="3"/>
  <c r="AF50" i="3"/>
  <c r="AB47" i="3"/>
  <c r="AB38" i="3"/>
  <c r="T38" i="3"/>
  <c r="X37" i="3"/>
  <c r="AG36" i="3"/>
  <c r="T36" i="3"/>
  <c r="AC35" i="3"/>
  <c r="AD50" i="3"/>
  <c r="AI49" i="3"/>
  <c r="AA47" i="3"/>
  <c r="V35" i="3"/>
  <c r="AE49" i="3"/>
  <c r="U48" i="3"/>
  <c r="W47" i="3"/>
  <c r="R50" i="3"/>
  <c r="AF48" i="3"/>
  <c r="AG38" i="1"/>
  <c r="V38" i="1"/>
  <c r="AH37" i="1"/>
  <c r="AC37" i="1"/>
  <c r="AD36" i="1"/>
  <c r="Y36" i="1"/>
  <c r="Z35" i="1"/>
  <c r="U35" i="1"/>
  <c r="Z38" i="1"/>
  <c r="U38" i="1"/>
  <c r="AG37" i="1"/>
  <c r="V37" i="1"/>
  <c r="AH36" i="1"/>
  <c r="AC36" i="1"/>
  <c r="AD35" i="1"/>
  <c r="Y35" i="1"/>
  <c r="AE38" i="1"/>
  <c r="T38" i="1"/>
  <c r="AF37" i="1"/>
  <c r="AA37" i="1"/>
  <c r="AB36" i="1"/>
  <c r="W36" i="1"/>
  <c r="AI35" i="1"/>
  <c r="X35" i="1"/>
  <c r="S35" i="1"/>
  <c r="R37" i="1"/>
  <c r="AB38" i="1"/>
  <c r="W38" i="1"/>
  <c r="AI37" i="1"/>
  <c r="X37" i="1"/>
  <c r="S37" i="1"/>
  <c r="AE36" i="1"/>
  <c r="T36" i="1"/>
  <c r="AF35" i="1"/>
  <c r="AA35" i="1"/>
  <c r="AC55" i="1" l="1"/>
  <c r="AC56" i="1"/>
  <c r="AC57" i="1"/>
  <c r="AH56" i="1"/>
  <c r="X53" i="1"/>
  <c r="U56" i="1"/>
  <c r="AB57" i="1"/>
  <c r="Y57" i="1"/>
  <c r="E52" i="1"/>
  <c r="Y53" i="1"/>
  <c r="AG53" i="1"/>
  <c r="X54" i="1"/>
  <c r="AF54" i="1"/>
  <c r="W55" i="1"/>
  <c r="AE55" i="1"/>
  <c r="V56" i="1"/>
  <c r="AD56" i="1"/>
  <c r="U57" i="1"/>
  <c r="R55" i="1"/>
  <c r="AI55" i="1"/>
  <c r="Z53" i="1"/>
  <c r="AH53" i="1"/>
  <c r="Y54" i="1"/>
  <c r="AG54" i="1"/>
  <c r="X55" i="1"/>
  <c r="AF55" i="1"/>
  <c r="W56" i="1"/>
  <c r="AE56" i="1"/>
  <c r="V57" i="1"/>
  <c r="AD57" i="1"/>
  <c r="R56" i="1"/>
  <c r="AB54" i="1"/>
  <c r="S53" i="1"/>
  <c r="AA53" i="1"/>
  <c r="AI53" i="1"/>
  <c r="Z54" i="1"/>
  <c r="AH54" i="1"/>
  <c r="Y55" i="1"/>
  <c r="AG55" i="1"/>
  <c r="X56" i="1"/>
  <c r="AF56" i="1"/>
  <c r="W57" i="1"/>
  <c r="AE57" i="1"/>
  <c r="R57" i="1"/>
  <c r="T53" i="1"/>
  <c r="AB53" i="1"/>
  <c r="S54" i="1"/>
  <c r="AA54" i="1"/>
  <c r="AI54" i="1"/>
  <c r="AH55" i="1"/>
  <c r="Y56" i="1"/>
  <c r="AG56" i="1"/>
  <c r="X57" i="1"/>
  <c r="AF57" i="1"/>
  <c r="R53" i="1"/>
  <c r="U53" i="1"/>
  <c r="T54" i="1"/>
  <c r="S55" i="1"/>
  <c r="AG57" i="1"/>
  <c r="Z55" i="1"/>
  <c r="AC53" i="1"/>
  <c r="Z56" i="1"/>
  <c r="V53" i="1"/>
  <c r="AD53" i="1"/>
  <c r="U54" i="1"/>
  <c r="AC54" i="1"/>
  <c r="T55" i="1"/>
  <c r="AB55" i="1"/>
  <c r="S56" i="1"/>
  <c r="AA56" i="1"/>
  <c r="AI56" i="1"/>
  <c r="Z57" i="1"/>
  <c r="AH57" i="1"/>
  <c r="W53" i="1"/>
  <c r="AE53" i="1"/>
  <c r="V54" i="1"/>
  <c r="AD54" i="1"/>
  <c r="U55" i="1"/>
  <c r="T56" i="1"/>
  <c r="AB56" i="1"/>
  <c r="S57" i="1"/>
  <c r="AA57" i="1"/>
  <c r="AI57" i="1"/>
  <c r="AF53" i="1"/>
  <c r="W54" i="1"/>
  <c r="AE54" i="1"/>
  <c r="V55" i="1"/>
  <c r="AD55" i="1"/>
  <c r="T57" i="1"/>
  <c r="R54" i="1"/>
  <c r="AA55" i="1"/>
  <c r="S49" i="3"/>
  <c r="T48" i="3"/>
  <c r="T49" i="3"/>
  <c r="Z48" i="3"/>
  <c r="AI50" i="3"/>
  <c r="X50" i="3"/>
  <c r="AA48" i="3"/>
  <c r="AC50" i="3"/>
  <c r="Y49" i="3"/>
  <c r="AD48" i="3"/>
  <c r="R48" i="3"/>
  <c r="V48" i="3"/>
  <c r="AG49" i="3"/>
  <c r="X47" i="3"/>
  <c r="X48" i="3"/>
  <c r="V51" i="3"/>
  <c r="AD51" i="3"/>
  <c r="R51" i="3"/>
  <c r="E46" i="3"/>
  <c r="W51" i="3"/>
  <c r="AE51" i="3"/>
  <c r="AH51" i="3"/>
  <c r="AC51" i="3"/>
  <c r="X51" i="3"/>
  <c r="AF51" i="3"/>
  <c r="AB51" i="3"/>
  <c r="U51" i="3"/>
  <c r="Y51" i="3"/>
  <c r="AG51" i="3"/>
  <c r="Z51" i="3"/>
  <c r="S51" i="3"/>
  <c r="AA51" i="3"/>
  <c r="AI51" i="3"/>
  <c r="T51" i="3"/>
  <c r="X51" i="1"/>
  <c r="Y51" i="1"/>
  <c r="AG51" i="1"/>
  <c r="AB51" i="1"/>
  <c r="AC51" i="1"/>
  <c r="Z51" i="1"/>
  <c r="AH51" i="1"/>
  <c r="T51" i="1"/>
  <c r="U51" i="1"/>
  <c r="S51" i="1"/>
  <c r="AA51" i="1"/>
  <c r="AI51" i="1"/>
  <c r="R51" i="1"/>
  <c r="AF51" i="1"/>
  <c r="V51" i="1"/>
  <c r="AD51" i="1"/>
  <c r="W51" i="1"/>
  <c r="AE51" i="1"/>
  <c r="E46" i="1"/>
  <c r="S48" i="3"/>
  <c r="Z50" i="3"/>
  <c r="AE47" i="3"/>
  <c r="AA49" i="3"/>
  <c r="X49" i="3"/>
  <c r="U49" i="1"/>
  <c r="V47" i="3"/>
  <c r="V49" i="3"/>
  <c r="W48" i="3"/>
  <c r="T50" i="3"/>
  <c r="AC49" i="3"/>
  <c r="AD47" i="3"/>
  <c r="AB48" i="3"/>
  <c r="S50" i="3"/>
  <c r="AG50" i="3"/>
  <c r="V50" i="3"/>
  <c r="AC47" i="3"/>
  <c r="AI47" i="1"/>
  <c r="W48" i="1"/>
  <c r="W50" i="1"/>
  <c r="AF47" i="1"/>
  <c r="AG47" i="1"/>
  <c r="X49" i="1"/>
  <c r="Z48" i="1"/>
  <c r="AD50" i="1"/>
  <c r="AA49" i="1"/>
  <c r="AB48" i="1"/>
  <c r="T50" i="1"/>
  <c r="AA47" i="1"/>
  <c r="Y49" i="1"/>
  <c r="AH48" i="1"/>
  <c r="X47" i="1"/>
  <c r="T48" i="1"/>
  <c r="AH47" i="1"/>
  <c r="S47" i="1"/>
  <c r="AF49" i="1"/>
  <c r="AI49" i="1"/>
  <c r="AD49" i="1"/>
  <c r="V50" i="1"/>
  <c r="AD47" i="1"/>
  <c r="AE47" i="1"/>
  <c r="AG49" i="1"/>
  <c r="AE49" i="1"/>
  <c r="AE50" i="1"/>
  <c r="AB50" i="1"/>
  <c r="AC50" i="1"/>
  <c r="V48" i="1"/>
  <c r="AA50" i="1"/>
  <c r="X50" i="1"/>
  <c r="AE48" i="1"/>
  <c r="R48" i="1"/>
  <c r="V47" i="1"/>
  <c r="R49" i="1"/>
  <c r="AC49" i="1"/>
  <c r="S49" i="1"/>
  <c r="AG48" i="1"/>
  <c r="AC48" i="1"/>
  <c r="Z50" i="1"/>
  <c r="AA48" i="1"/>
  <c r="R50" i="1"/>
  <c r="AD48" i="1"/>
  <c r="AF50" i="1"/>
  <c r="U48" i="1"/>
  <c r="AH50" i="1"/>
  <c r="Z49" i="1"/>
  <c r="Y47" i="1"/>
  <c r="Z47" i="1"/>
  <c r="R47" i="1"/>
  <c r="AC47" i="1"/>
  <c r="Y50" i="1"/>
  <c r="W49" i="1"/>
  <c r="AB49" i="1"/>
  <c r="AB47" i="1"/>
  <c r="AF48" i="1"/>
  <c r="S48" i="1"/>
  <c r="U50" i="1"/>
  <c r="X48" i="1"/>
  <c r="AG50" i="1"/>
  <c r="Y48" i="1"/>
  <c r="AI50" i="1"/>
  <c r="T49" i="1"/>
  <c r="T47" i="1"/>
  <c r="V49" i="1"/>
  <c r="U47" i="1"/>
  <c r="AH49" i="1"/>
  <c r="W47" i="1"/>
  <c r="S50" i="1"/>
  <c r="AI48" i="1"/>
  <c r="W50" i="3"/>
  <c r="Y48" i="3"/>
  <c r="R47" i="3"/>
  <c r="AC48" i="3"/>
  <c r="S47" i="3"/>
  <c r="Y50" i="3"/>
  <c r="AH50" i="3"/>
  <c r="AF47" i="3"/>
  <c r="W49" i="3"/>
  <c r="T47" i="3"/>
  <c r="AE50" i="3"/>
  <c r="U49" i="3"/>
  <c r="AH47" i="3"/>
  <c r="AA50" i="3"/>
  <c r="Z47" i="3"/>
  <c r="Y47" i="3"/>
  <c r="AH48" i="3"/>
  <c r="AF49" i="3"/>
  <c r="AB50" i="3"/>
  <c r="AD49" i="3"/>
  <c r="AE48" i="3"/>
  <c r="AH49" i="3"/>
  <c r="U50" i="3"/>
  <c r="AI47" i="3"/>
  <c r="AG48" i="3"/>
  <c r="U47" i="3"/>
</calcChain>
</file>

<file path=xl/sharedStrings.xml><?xml version="1.0" encoding="utf-8"?>
<sst xmlns="http://schemas.openxmlformats.org/spreadsheetml/2006/main" count="207" uniqueCount="69">
  <si>
    <t>Charge de neige (kg/m²)</t>
  </si>
  <si>
    <t>Poids remplissage (kg/m²)</t>
  </si>
  <si>
    <t>Pente</t>
  </si>
  <si>
    <t>Poids chevron (kg)</t>
  </si>
  <si>
    <t>Poids chevron + renfort (kg)</t>
  </si>
  <si>
    <t>Poids par m sur chéneau (+poids chevron) (kg)</t>
  </si>
  <si>
    <t>Poids par m sur chéneau renfort. (+poids chevron) (kg)</t>
  </si>
  <si>
    <t>Poids par m sur chéneau (+poids chevron et IPN) (kg)</t>
  </si>
  <si>
    <t>Poids par m sur chéneau renfort. (+poids chevron et IPN) (kg)</t>
  </si>
  <si>
    <t>Distance entre poteaux (m)</t>
  </si>
  <si>
    <t>Distance entre chevrons (m)</t>
  </si>
  <si>
    <t>Profondeur (m)</t>
  </si>
  <si>
    <t>Pente (°)</t>
  </si>
  <si>
    <t>I sabliere (cm4)</t>
  </si>
  <si>
    <t>Poids sabliere (kg)</t>
  </si>
  <si>
    <t>Poids sabliere + renfort (kg)</t>
  </si>
  <si>
    <t>Nombre chevrons intermediairs</t>
  </si>
  <si>
    <t>Constante 'flèche max'</t>
  </si>
  <si>
    <t>CHEVRON: 431922</t>
  </si>
  <si>
    <t>RENFORT CHENEAU: 739084</t>
  </si>
  <si>
    <t>I 10x120 (cm4)</t>
  </si>
  <si>
    <t>nu =</t>
  </si>
  <si>
    <t>Longueur =</t>
  </si>
  <si>
    <t>nu</t>
  </si>
  <si>
    <t>charge neige* =</t>
  </si>
  <si>
    <t>(*) Charge neige = nu * Ce * Ct * Sk + s1</t>
  </si>
  <si>
    <t>Ce = Ct = 0 &amp; s1 = 0 si pente &gt;5%(&gt;2,86°)</t>
  </si>
  <si>
    <t>Charge neige* =</t>
  </si>
  <si>
    <t>CHENEAU: 432026</t>
  </si>
  <si>
    <t>I cheneau (cm4)</t>
  </si>
  <si>
    <t xml:space="preserve">EI_cheneau (Nm²) = </t>
  </si>
  <si>
    <t xml:space="preserve">EI_cheneau + EI_renfort (Nm²) = </t>
  </si>
  <si>
    <t xml:space="preserve">Longueur barre = </t>
  </si>
  <si>
    <t xml:space="preserve">Distance maxi entre poteaux = </t>
  </si>
  <si>
    <t xml:space="preserve">EI_sabliere (Nm²) = </t>
  </si>
  <si>
    <t xml:space="preserve">EI_sabliere + EI_renfort (Nm²) = </t>
  </si>
  <si>
    <r>
      <t xml:space="preserve"> f = 5/384 * ( G * L^4 / E * I )  </t>
    </r>
    <r>
      <rPr>
        <b/>
        <i/>
        <sz val="8"/>
        <color indexed="12"/>
        <rFont val="Arial"/>
        <family val="2"/>
      </rPr>
      <t>G = N par m</t>
    </r>
  </si>
  <si>
    <r>
      <t xml:space="preserve"> f = 5/384 * ( G * L^4 / E * I )   </t>
    </r>
    <r>
      <rPr>
        <b/>
        <i/>
        <sz val="8"/>
        <color indexed="12"/>
        <rFont val="Arial"/>
        <family val="2"/>
      </rPr>
      <t>G = N par m</t>
    </r>
  </si>
  <si>
    <t>Profondeur</t>
  </si>
  <si>
    <t>Charge neige</t>
  </si>
  <si>
    <t xml:space="preserve">DISTANCE POTEAU   PATIO sabliere + chevron   Flèche maxi=L/200 / vitrage 20kg/m² / pas chevron=0,700m </t>
  </si>
  <si>
    <t xml:space="preserve">DISTANCE POTEAU   PATIO sabliere renforcé + chevron   Flèche maxi = L/200 / vitrage 20kg/m² / pas chevron=0,700m </t>
  </si>
  <si>
    <t xml:space="preserve">DISTANCE POTEAU   PATIO sabliere + chevron renfort 50x90x3 Flèche maxi=L/200 / vitrage 20kg/m² / pas chevron=0,700m </t>
  </si>
  <si>
    <t xml:space="preserve">DISTANCE POTEAU   PATIO sabliere renforce + chevron renfort 50x90x3 Flèche maxi=L/200 / vitrage 20kg/m² / pas chevron=0,700m </t>
  </si>
  <si>
    <t>Poids chevron +  2 x renfort (kg)</t>
  </si>
  <si>
    <t>Poids chevron + 2 x renfort (kg)</t>
  </si>
  <si>
    <t xml:space="preserve">DISTANCE POTEAU   PATIO sabliere renforcé + chevron Flèche maxi=L/200 / vitrage 20kg/m² / pas chevron=0,700m </t>
  </si>
  <si>
    <t xml:space="preserve">DISTANCE POTEAU   PATIO sabliere + chevron   Flèche maxi=L/200 / plaque 5kg/m² / pas chevron=1,300m </t>
  </si>
  <si>
    <t xml:space="preserve">DISTANCE POTEAU   PATIO sabliere renforcé + chevron   Flèche maxi=L/200 / plaque 5kg/m² / pas chevron=1,300m </t>
  </si>
  <si>
    <t xml:space="preserve">DISTANCE POTEAU   PATIO sabliere + chevron renfort 2x 10x100 Flèche maxi = L/200 / vitrage 20kg/m² / pas chevron=0,700m </t>
  </si>
  <si>
    <t xml:space="preserve">DISTANCE POTEAU   PATIO sabliere renforcé + chevron renfort 2x 10x100 Flèche maxi=L/200 / vitrage 20kg/m² / pas chevron=0,700m </t>
  </si>
  <si>
    <t>Poids par m sur chéneau (+poids chevron + 2x renf) (kg)</t>
  </si>
  <si>
    <t>Poids par m sur chéneau renfort. (+poids chevron + 2x renf) (kg)</t>
  </si>
  <si>
    <t>FLECHE MAXI = L/200</t>
  </si>
  <si>
    <r>
      <t>P A T I O</t>
    </r>
    <r>
      <rPr>
        <b/>
        <sz val="12"/>
        <color indexed="9"/>
        <rFont val="Arial"/>
        <family val="2"/>
      </rPr>
      <t xml:space="preserve">   CALCUL PORTEE CHENEAU</t>
    </r>
    <r>
      <rPr>
        <b/>
        <sz val="14"/>
        <color indexed="9"/>
        <rFont val="Arial"/>
        <family val="2"/>
      </rPr>
      <t xml:space="preserve"> </t>
    </r>
    <r>
      <rPr>
        <b/>
        <sz val="14"/>
        <color rgb="FF0000CC"/>
        <rFont val="Arial"/>
        <family val="2"/>
      </rPr>
      <t>vitrage</t>
    </r>
  </si>
  <si>
    <r>
      <t>P A T I O</t>
    </r>
    <r>
      <rPr>
        <b/>
        <sz val="12"/>
        <color indexed="9"/>
        <rFont val="Arial"/>
        <family val="2"/>
      </rPr>
      <t xml:space="preserve">   CALCUL PORTEE CHENEAU</t>
    </r>
    <r>
      <rPr>
        <b/>
        <sz val="14"/>
        <color indexed="9"/>
        <rFont val="Arial"/>
        <family val="2"/>
      </rPr>
      <t xml:space="preserve"> </t>
    </r>
    <r>
      <rPr>
        <b/>
        <sz val="14"/>
        <color rgb="FF0000CC"/>
        <rFont val="Arial"/>
        <family val="2"/>
      </rPr>
      <t>plaque</t>
    </r>
  </si>
  <si>
    <t>DELETE</t>
  </si>
  <si>
    <t xml:space="preserve">Distance maxi entre poteaux _ Chéneau non renforcé </t>
  </si>
  <si>
    <t>Distance maxi entre poteaux Chéneau renforcé</t>
  </si>
  <si>
    <t>RENFORT CHEVRON: Fe10x100 739016</t>
  </si>
  <si>
    <t>RENFORT CHEVRON: Fe50x90x3 739025</t>
  </si>
  <si>
    <r>
      <t xml:space="preserve">Version 12/2020   </t>
    </r>
    <r>
      <rPr>
        <sz val="10"/>
        <color indexed="10"/>
        <rFont val="Arial"/>
        <family val="2"/>
      </rPr>
      <t>Ces valeurs sont données a titre indicatif et n'engagent pas Flandria !</t>
    </r>
  </si>
  <si>
    <t xml:space="preserve">DISTANCE POTEAU   PATIO sabliere + chevron   Flèche maxi=L/200 / plaque 5kg/m² / pas chevron=1,200m </t>
  </si>
  <si>
    <t xml:space="preserve">DISTANCE POTEAU   PATIO sabliere + chevron renfort 50x90x3 Flèche maxi=L/200 / plaque 5kg/m² / pas chevron=1,200m </t>
  </si>
  <si>
    <t xml:space="preserve">DISTANCE POTEAU   PATIO sabliere renforcé + chevron   Flèche maxi=L/200 / plaque 5kg/m² / pas chevron=1,200m </t>
  </si>
  <si>
    <t>DISTANCE POTEAU   PATIO sabliere renforcé + chevron renfort 50x90x3 Flèche maxi=L/200 / plaque 5kg/m² / pas chevron=1,200m</t>
  </si>
  <si>
    <t xml:space="preserve">DISTANCE POTEAU   PATIO sabliere + chevron renfort 2x 10x100 Flèche maxi=L/200 / plaque 5kg/m² / pas chevron=1,200m </t>
  </si>
  <si>
    <t xml:space="preserve">DISTANCE POTEAU   PATIO sabliere renforcé + chevron renfort 2x 10x100 Flèche maxi=L/200 / plaque 5kg/m² / pas chevron=1,200m </t>
  </si>
  <si>
    <t>Ces valeurs sont données a titre indicatif et n'engagent pas Flandria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</si>
</sst>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0.000"/>
    <numFmt numFmtId="166" formatCode="0.0"/>
    <numFmt numFmtId="167" formatCode="_-* #,##0.0\ _€_-;\-* #,##0.0\ _€_-;_-* &quot;-&quot;??\ _€_-;_-@_-"/>
  </numFmts>
  <fonts count="2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color indexed="10"/>
      <name val="Arial"/>
      <family val="2"/>
    </font>
    <font>
      <sz val="10"/>
      <color indexed="12"/>
      <name val="Arial"/>
      <family val="2"/>
    </font>
    <font>
      <b/>
      <sz val="20"/>
      <color indexed="10"/>
      <name val="Arial"/>
      <family val="2"/>
    </font>
    <font>
      <b/>
      <sz val="20"/>
      <name val="Arial"/>
      <family val="2"/>
    </font>
    <font>
      <b/>
      <sz val="8.5"/>
      <name val="MS Sans Serif"/>
      <family val="2"/>
    </font>
    <font>
      <b/>
      <sz val="12"/>
      <color indexed="9"/>
      <name val="Arial"/>
      <family val="2"/>
    </font>
    <font>
      <b/>
      <sz val="14"/>
      <color indexed="9"/>
      <name val="Arial"/>
      <family val="2"/>
    </font>
    <font>
      <b/>
      <sz val="12"/>
      <name val="Arial"/>
      <family val="2"/>
    </font>
    <font>
      <b/>
      <sz val="8.5"/>
      <color indexed="9"/>
      <name val="MS Sans Serif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b/>
      <i/>
      <sz val="8"/>
      <color indexed="12"/>
      <name val="Arial"/>
      <family val="2"/>
    </font>
    <font>
      <b/>
      <sz val="10"/>
      <color rgb="FF0000CC"/>
      <name val="Arial"/>
      <family val="2"/>
    </font>
    <font>
      <sz val="10"/>
      <color rgb="FF0000CC"/>
      <name val="Arial"/>
      <family val="2"/>
    </font>
    <font>
      <sz val="10"/>
      <color rgb="FFFF0000"/>
      <name val="Arial"/>
      <family val="2"/>
    </font>
    <font>
      <b/>
      <sz val="12"/>
      <color theme="0"/>
      <name val="Arial"/>
      <family val="2"/>
    </font>
    <font>
      <b/>
      <sz val="14"/>
      <color rgb="FF0000CC"/>
      <name val="Arial"/>
      <family val="2"/>
    </font>
    <font>
      <b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2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 applyFill="1"/>
    <xf numFmtId="1" fontId="0" fillId="0" borderId="0" xfId="0" applyNumberFormat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/>
    <xf numFmtId="0" fontId="0" fillId="0" borderId="0" xfId="0" applyFill="1" applyBorder="1"/>
    <xf numFmtId="1" fontId="0" fillId="2" borderId="1" xfId="0" applyNumberFormat="1" applyFill="1" applyBorder="1" applyAlignment="1">
      <alignment horizontal="center"/>
    </xf>
    <xf numFmtId="0" fontId="0" fillId="0" borderId="0" xfId="0" applyAlignment="1"/>
    <xf numFmtId="0" fontId="0" fillId="0" borderId="0" xfId="0" applyFont="1"/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2" fontId="4" fillId="0" borderId="11" xfId="0" applyNumberFormat="1" applyFont="1" applyBorder="1" applyAlignment="1">
      <alignment horizontal="center"/>
    </xf>
    <xf numFmtId="0" fontId="3" fillId="0" borderId="12" xfId="0" applyFont="1" applyBorder="1" applyAlignment="1">
      <alignment horizontal="right"/>
    </xf>
    <xf numFmtId="2" fontId="3" fillId="0" borderId="13" xfId="0" applyNumberFormat="1" applyFont="1" applyFill="1" applyBorder="1" applyAlignment="1">
      <alignment horizontal="center"/>
    </xf>
    <xf numFmtId="0" fontId="3" fillId="0" borderId="4" xfId="0" applyFont="1" applyBorder="1"/>
    <xf numFmtId="166" fontId="3" fillId="0" borderId="6" xfId="0" applyNumberFormat="1" applyFont="1" applyBorder="1" applyAlignment="1">
      <alignment horizontal="center"/>
    </xf>
    <xf numFmtId="0" fontId="3" fillId="0" borderId="10" xfId="0" applyFont="1" applyBorder="1" applyAlignment="1">
      <alignment horizontal="right"/>
    </xf>
    <xf numFmtId="0" fontId="3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0" fontId="3" fillId="0" borderId="3" xfId="0" applyFont="1" applyFill="1" applyBorder="1" applyAlignment="1">
      <alignment horizontal="right"/>
    </xf>
    <xf numFmtId="2" fontId="3" fillId="0" borderId="5" xfId="0" applyNumberFormat="1" applyFont="1" applyBorder="1" applyAlignment="1">
      <alignment horizontal="center"/>
    </xf>
    <xf numFmtId="0" fontId="3" fillId="0" borderId="4" xfId="0" applyFont="1" applyBorder="1" applyAlignment="1">
      <alignment horizontal="right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right"/>
    </xf>
    <xf numFmtId="165" fontId="0" fillId="0" borderId="0" xfId="0" applyNumberFormat="1"/>
    <xf numFmtId="0" fontId="0" fillId="0" borderId="14" xfId="0" applyFill="1" applyBorder="1"/>
    <xf numFmtId="1" fontId="0" fillId="0" borderId="14" xfId="0" applyNumberFormat="1" applyFill="1" applyBorder="1" applyAlignment="1">
      <alignment horizontal="center"/>
    </xf>
    <xf numFmtId="0" fontId="4" fillId="0" borderId="0" xfId="0" applyFont="1" applyAlignment="1">
      <alignment horizontal="right"/>
    </xf>
    <xf numFmtId="165" fontId="0" fillId="0" borderId="0" xfId="0" applyNumberFormat="1" applyAlignment="1" applyProtection="1">
      <alignment horizontal="center" vertical="top"/>
      <protection hidden="1"/>
    </xf>
    <xf numFmtId="1" fontId="4" fillId="0" borderId="0" xfId="0" applyNumberFormat="1" applyFont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 applyProtection="1">
      <alignment horizontal="right" vertical="top"/>
      <protection hidden="1"/>
    </xf>
    <xf numFmtId="165" fontId="4" fillId="0" borderId="0" xfId="0" applyNumberFormat="1" applyFont="1" applyFill="1" applyBorder="1" applyAlignment="1" applyProtection="1">
      <alignment horizontal="center" vertical="top"/>
      <protection hidden="1"/>
    </xf>
    <xf numFmtId="2" fontId="4" fillId="0" borderId="0" xfId="0" applyNumberFormat="1" applyFont="1" applyFill="1" applyBorder="1" applyAlignment="1" applyProtection="1">
      <alignment horizontal="center" vertical="top"/>
      <protection hidden="1"/>
    </xf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167" fontId="3" fillId="0" borderId="16" xfId="1" applyNumberFormat="1" applyFont="1" applyBorder="1" applyAlignment="1">
      <alignment horizontal="center"/>
    </xf>
    <xf numFmtId="167" fontId="3" fillId="0" borderId="17" xfId="1" applyNumberFormat="1" applyFont="1" applyBorder="1" applyAlignment="1">
      <alignment horizontal="center"/>
    </xf>
    <xf numFmtId="167" fontId="3" fillId="0" borderId="7" xfId="1" applyNumberFormat="1" applyFont="1" applyBorder="1" applyAlignment="1">
      <alignment horizontal="center"/>
    </xf>
    <xf numFmtId="0" fontId="18" fillId="0" borderId="0" xfId="0" applyFont="1"/>
    <xf numFmtId="0" fontId="3" fillId="0" borderId="24" xfId="0" applyFont="1" applyBorder="1"/>
    <xf numFmtId="0" fontId="3" fillId="0" borderId="25" xfId="0" applyFont="1" applyBorder="1"/>
    <xf numFmtId="0" fontId="3" fillId="0" borderId="26" xfId="0" applyFont="1" applyBorder="1"/>
    <xf numFmtId="2" fontId="18" fillId="0" borderId="27" xfId="0" applyNumberFormat="1" applyFont="1" applyBorder="1"/>
    <xf numFmtId="2" fontId="18" fillId="0" borderId="28" xfId="0" applyNumberFormat="1" applyFont="1" applyBorder="1"/>
    <xf numFmtId="2" fontId="18" fillId="0" borderId="29" xfId="0" applyNumberFormat="1" applyFont="1" applyBorder="1"/>
    <xf numFmtId="2" fontId="18" fillId="0" borderId="30" xfId="0" applyNumberFormat="1" applyFont="1" applyBorder="1"/>
    <xf numFmtId="2" fontId="18" fillId="0" borderId="31" xfId="0" applyNumberFormat="1" applyFont="1" applyBorder="1"/>
    <xf numFmtId="2" fontId="18" fillId="0" borderId="32" xfId="0" applyNumberFormat="1" applyFont="1" applyBorder="1"/>
    <xf numFmtId="2" fontId="18" fillId="0" borderId="33" xfId="0" applyNumberFormat="1" applyFont="1" applyBorder="1"/>
    <xf numFmtId="2" fontId="18" fillId="0" borderId="34" xfId="0" applyNumberFormat="1" applyFont="1" applyBorder="1"/>
    <xf numFmtId="2" fontId="18" fillId="0" borderId="35" xfId="0" applyNumberFormat="1" applyFont="1" applyBorder="1"/>
    <xf numFmtId="0" fontId="3" fillId="0" borderId="36" xfId="0" applyFont="1" applyBorder="1"/>
    <xf numFmtId="2" fontId="18" fillId="0" borderId="37" xfId="0" applyNumberFormat="1" applyFont="1" applyBorder="1"/>
    <xf numFmtId="2" fontId="18" fillId="0" borderId="38" xfId="0" applyNumberFormat="1" applyFont="1" applyBorder="1"/>
    <xf numFmtId="2" fontId="18" fillId="0" borderId="39" xfId="0" applyNumberFormat="1" applyFont="1" applyBorder="1"/>
    <xf numFmtId="0" fontId="3" fillId="0" borderId="40" xfId="0" applyFont="1" applyBorder="1"/>
    <xf numFmtId="2" fontId="18" fillId="0" borderId="41" xfId="0" applyNumberFormat="1" applyFont="1" applyBorder="1"/>
    <xf numFmtId="2" fontId="18" fillId="0" borderId="42" xfId="0" applyNumberFormat="1" applyFont="1" applyBorder="1"/>
    <xf numFmtId="2" fontId="18" fillId="0" borderId="43" xfId="0" applyNumberFormat="1" applyFont="1" applyBorder="1"/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vertical="center"/>
    </xf>
    <xf numFmtId="165" fontId="3" fillId="3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vertical="center"/>
    </xf>
    <xf numFmtId="166" fontId="4" fillId="2" borderId="1" xfId="0" applyNumberFormat="1" applyFont="1" applyFill="1" applyBorder="1" applyAlignment="1">
      <alignment horizontal="center"/>
    </xf>
    <xf numFmtId="0" fontId="4" fillId="0" borderId="0" xfId="0" applyFont="1" applyFill="1" applyBorder="1"/>
    <xf numFmtId="0" fontId="3" fillId="3" borderId="1" xfId="0" applyFont="1" applyFill="1" applyBorder="1" applyAlignment="1" applyProtection="1">
      <alignment horizontal="center" vertical="center"/>
    </xf>
    <xf numFmtId="0" fontId="19" fillId="0" borderId="0" xfId="0" applyFont="1"/>
    <xf numFmtId="2" fontId="19" fillId="0" borderId="27" xfId="0" applyNumberFormat="1" applyFont="1" applyBorder="1"/>
    <xf numFmtId="2" fontId="19" fillId="0" borderId="37" xfId="0" applyNumberFormat="1" applyFont="1" applyBorder="1"/>
    <xf numFmtId="2" fontId="19" fillId="0" borderId="29" xfId="0" applyNumberFormat="1" applyFont="1" applyBorder="1"/>
    <xf numFmtId="2" fontId="19" fillId="0" borderId="41" xfId="0" applyNumberFormat="1" applyFont="1" applyBorder="1"/>
    <xf numFmtId="2" fontId="19" fillId="0" borderId="28" xfId="0" applyNumberFormat="1" applyFont="1" applyBorder="1"/>
    <xf numFmtId="2" fontId="19" fillId="0" borderId="30" xfId="0" applyNumberFormat="1" applyFont="1" applyBorder="1"/>
    <xf numFmtId="2" fontId="19" fillId="0" borderId="38" xfId="0" applyNumberFormat="1" applyFont="1" applyBorder="1"/>
    <xf numFmtId="2" fontId="19" fillId="0" borderId="32" xfId="0" applyNumberFormat="1" applyFont="1" applyBorder="1"/>
    <xf numFmtId="2" fontId="19" fillId="0" borderId="42" xfId="0" applyNumberFormat="1" applyFont="1" applyBorder="1"/>
    <xf numFmtId="2" fontId="19" fillId="0" borderId="31" xfId="0" applyNumberFormat="1" applyFont="1" applyBorder="1"/>
    <xf numFmtId="2" fontId="19" fillId="0" borderId="33" xfId="0" applyNumberFormat="1" applyFont="1" applyBorder="1"/>
    <xf numFmtId="2" fontId="19" fillId="0" borderId="39" xfId="0" applyNumberFormat="1" applyFont="1" applyBorder="1"/>
    <xf numFmtId="2" fontId="19" fillId="0" borderId="35" xfId="0" applyNumberFormat="1" applyFont="1" applyBorder="1"/>
    <xf numFmtId="2" fontId="19" fillId="0" borderId="43" xfId="0" applyNumberFormat="1" applyFont="1" applyBorder="1"/>
    <xf numFmtId="2" fontId="19" fillId="0" borderId="34" xfId="0" applyNumberFormat="1" applyFont="1" applyBorder="1"/>
    <xf numFmtId="166" fontId="4" fillId="5" borderId="1" xfId="0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1" fontId="4" fillId="5" borderId="1" xfId="0" applyNumberFormat="1" applyFont="1" applyFill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0" fontId="1" fillId="0" borderId="1" xfId="0" applyFont="1" applyBorder="1"/>
    <xf numFmtId="0" fontId="1" fillId="0" borderId="16" xfId="0" applyFont="1" applyBorder="1" applyAlignment="1"/>
    <xf numFmtId="0" fontId="1" fillId="0" borderId="7" xfId="0" applyFont="1" applyBorder="1" applyAlignment="1"/>
    <xf numFmtId="0" fontId="1" fillId="0" borderId="18" xfId="0" applyFont="1" applyBorder="1" applyAlignment="1"/>
    <xf numFmtId="0" fontId="1" fillId="0" borderId="19" xfId="0" applyFont="1" applyBorder="1" applyAlignment="1"/>
    <xf numFmtId="14" fontId="1" fillId="0" borderId="0" xfId="0" applyNumberFormat="1" applyFont="1" applyAlignment="1">
      <alignment horizontal="left"/>
    </xf>
    <xf numFmtId="0" fontId="3" fillId="0" borderId="44" xfId="0" applyFont="1" applyFill="1" applyBorder="1"/>
    <xf numFmtId="2" fontId="18" fillId="0" borderId="45" xfId="0" applyNumberFormat="1" applyFont="1" applyFill="1" applyBorder="1"/>
    <xf numFmtId="2" fontId="18" fillId="0" borderId="46" xfId="0" applyNumberFormat="1" applyFont="1" applyFill="1" applyBorder="1"/>
    <xf numFmtId="2" fontId="18" fillId="0" borderId="47" xfId="0" applyNumberFormat="1" applyFont="1" applyFill="1" applyBorder="1"/>
    <xf numFmtId="2" fontId="18" fillId="0" borderId="48" xfId="0" applyNumberFormat="1" applyFont="1" applyFill="1" applyBorder="1"/>
    <xf numFmtId="2" fontId="18" fillId="0" borderId="49" xfId="0" applyNumberFormat="1" applyFont="1" applyFill="1" applyBorder="1"/>
    <xf numFmtId="0" fontId="3" fillId="0" borderId="0" xfId="0" applyFont="1" applyFill="1" applyBorder="1"/>
    <xf numFmtId="0" fontId="3" fillId="0" borderId="50" xfId="0" applyFont="1" applyBorder="1"/>
    <xf numFmtId="0" fontId="3" fillId="0" borderId="51" xfId="0" applyFont="1" applyBorder="1"/>
    <xf numFmtId="0" fontId="3" fillId="0" borderId="52" xfId="0" applyFont="1" applyBorder="1"/>
    <xf numFmtId="2" fontId="18" fillId="0" borderId="0" xfId="0" applyNumberFormat="1" applyFont="1" applyFill="1" applyBorder="1"/>
    <xf numFmtId="2" fontId="19" fillId="0" borderId="45" xfId="0" applyNumberFormat="1" applyFont="1" applyFill="1" applyBorder="1"/>
    <xf numFmtId="2" fontId="19" fillId="0" borderId="46" xfId="0" applyNumberFormat="1" applyFont="1" applyFill="1" applyBorder="1"/>
    <xf numFmtId="2" fontId="19" fillId="0" borderId="47" xfId="0" applyNumberFormat="1" applyFont="1" applyFill="1" applyBorder="1"/>
    <xf numFmtId="2" fontId="19" fillId="0" borderId="48" xfId="0" applyNumberFormat="1" applyFont="1" applyFill="1" applyBorder="1"/>
    <xf numFmtId="2" fontId="19" fillId="0" borderId="49" xfId="0" applyNumberFormat="1" applyFont="1" applyFill="1" applyBorder="1"/>
    <xf numFmtId="2" fontId="19" fillId="0" borderId="0" xfId="0" applyNumberFormat="1" applyFont="1" applyFill="1" applyBorder="1"/>
    <xf numFmtId="166" fontId="12" fillId="0" borderId="0" xfId="0" applyNumberFormat="1" applyFont="1" applyFill="1" applyBorder="1" applyAlignment="1" applyProtection="1">
      <alignment horizontal="center"/>
      <protection hidden="1"/>
    </xf>
    <xf numFmtId="0" fontId="3" fillId="0" borderId="0" xfId="0" applyFont="1" applyBorder="1" applyAlignment="1">
      <alignment vertical="center"/>
    </xf>
    <xf numFmtId="166" fontId="12" fillId="0" borderId="0" xfId="0" applyNumberFormat="1" applyFont="1" applyFill="1" applyBorder="1" applyAlignment="1" applyProtection="1">
      <alignment horizontal="center" vertical="center"/>
      <protection hidden="1"/>
    </xf>
    <xf numFmtId="2" fontId="12" fillId="0" borderId="0" xfId="0" applyNumberFormat="1" applyFont="1" applyFill="1" applyBorder="1" applyAlignment="1" applyProtection="1">
      <alignment horizontal="center" vertical="top"/>
      <protection hidden="1"/>
    </xf>
    <xf numFmtId="2" fontId="12" fillId="0" borderId="0" xfId="0" applyNumberFormat="1" applyFont="1" applyFill="1" applyBorder="1" applyAlignment="1" applyProtection="1">
      <alignment horizontal="center"/>
      <protection hidden="1"/>
    </xf>
    <xf numFmtId="0" fontId="12" fillId="0" borderId="0" xfId="0" applyFont="1" applyFill="1" applyBorder="1" applyAlignment="1"/>
    <xf numFmtId="0" fontId="12" fillId="0" borderId="0" xfId="0" applyFont="1" applyAlignment="1"/>
    <xf numFmtId="2" fontId="20" fillId="6" borderId="0" xfId="0" applyNumberFormat="1" applyFont="1" applyFill="1" applyAlignment="1" applyProtection="1">
      <alignment horizontal="center"/>
      <protection hidden="1"/>
    </xf>
    <xf numFmtId="0" fontId="12" fillId="0" borderId="0" xfId="0" applyFont="1" applyFill="1" applyBorder="1" applyAlignment="1" applyProtection="1">
      <alignment horizontal="left"/>
      <protection hidden="1"/>
    </xf>
    <xf numFmtId="0" fontId="22" fillId="0" borderId="0" xfId="0" applyFont="1" applyFill="1" applyBorder="1" applyAlignment="1" applyProtection="1">
      <alignment horizontal="left" vertical="top"/>
      <protection hidden="1"/>
    </xf>
    <xf numFmtId="0" fontId="3" fillId="0" borderId="53" xfId="0" applyFont="1" applyBorder="1"/>
    <xf numFmtId="0" fontId="3" fillId="0" borderId="54" xfId="0" applyFont="1" applyBorder="1"/>
    <xf numFmtId="0" fontId="3" fillId="0" borderId="55" xfId="0" applyFont="1" applyBorder="1"/>
    <xf numFmtId="2" fontId="18" fillId="0" borderId="0" xfId="0" applyNumberFormat="1" applyFont="1" applyBorder="1"/>
    <xf numFmtId="0" fontId="3" fillId="0" borderId="56" xfId="0" applyFont="1" applyBorder="1"/>
    <xf numFmtId="0" fontId="3" fillId="0" borderId="57" xfId="0" applyFont="1" applyBorder="1"/>
    <xf numFmtId="0" fontId="3" fillId="0" borderId="58" xfId="0" applyFont="1" applyBorder="1"/>
    <xf numFmtId="2" fontId="19" fillId="0" borderId="0" xfId="0" applyNumberFormat="1" applyFont="1" applyBorder="1"/>
    <xf numFmtId="2" fontId="19" fillId="0" borderId="14" xfId="0" applyNumberFormat="1" applyFont="1" applyBorder="1"/>
    <xf numFmtId="2" fontId="19" fillId="0" borderId="60" xfId="0" applyNumberFormat="1" applyFont="1" applyBorder="1"/>
    <xf numFmtId="2" fontId="19" fillId="0" borderId="44" xfId="0" applyNumberFormat="1" applyFont="1" applyBorder="1"/>
    <xf numFmtId="0" fontId="3" fillId="0" borderId="62" xfId="0" applyFont="1" applyFill="1" applyBorder="1"/>
    <xf numFmtId="2" fontId="19" fillId="0" borderId="62" xfId="0" applyNumberFormat="1" applyFont="1" applyBorder="1"/>
    <xf numFmtId="2" fontId="19" fillId="0" borderId="19" xfId="0" applyNumberFormat="1" applyFont="1" applyBorder="1"/>
    <xf numFmtId="2" fontId="18" fillId="0" borderId="14" xfId="0" applyNumberFormat="1" applyFont="1" applyBorder="1"/>
    <xf numFmtId="2" fontId="18" fillId="0" borderId="60" xfId="0" applyNumberFormat="1" applyFont="1" applyBorder="1"/>
    <xf numFmtId="2" fontId="18" fillId="0" borderId="44" xfId="0" applyNumberFormat="1" applyFont="1" applyBorder="1"/>
    <xf numFmtId="2" fontId="18" fillId="0" borderId="62" xfId="0" applyNumberFormat="1" applyFont="1" applyBorder="1"/>
    <xf numFmtId="2" fontId="18" fillId="0" borderId="19" xfId="0" applyNumberFormat="1" applyFont="1" applyBorder="1"/>
    <xf numFmtId="0" fontId="3" fillId="0" borderId="0" xfId="0" applyFont="1"/>
    <xf numFmtId="0" fontId="9" fillId="0" borderId="0" xfId="0" applyFont="1" applyFill="1" applyBorder="1" applyAlignment="1" applyProtection="1">
      <alignment horizontal="left" vertical="center" wrapText="1"/>
    </xf>
    <xf numFmtId="0" fontId="0" fillId="0" borderId="0" xfId="0" applyFill="1" applyBorder="1" applyAlignment="1">
      <alignment horizontal="left" vertical="center"/>
    </xf>
    <xf numFmtId="0" fontId="13" fillId="0" borderId="0" xfId="0" applyFont="1" applyFill="1" applyBorder="1" applyAlignment="1" applyProtection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22" fillId="0" borderId="0" xfId="0" applyFont="1"/>
    <xf numFmtId="0" fontId="3" fillId="0" borderId="0" xfId="0" applyFont="1" applyFill="1" applyBorder="1" applyAlignment="1" applyProtection="1">
      <alignment horizontal="left"/>
      <protection hidden="1"/>
    </xf>
    <xf numFmtId="0" fontId="1" fillId="0" borderId="15" xfId="0" applyFont="1" applyBorder="1" applyAlignment="1">
      <alignment horizontal="center" vertical="center" textRotation="90"/>
    </xf>
    <xf numFmtId="0" fontId="0" fillId="0" borderId="23" xfId="0" applyBorder="1" applyAlignment="1"/>
    <xf numFmtId="0" fontId="0" fillId="0" borderId="2" xfId="0" applyBorder="1" applyAlignment="1"/>
    <xf numFmtId="0" fontId="17" fillId="0" borderId="16" xfId="0" applyFont="1" applyBorder="1" applyAlignment="1">
      <alignment horizontal="left"/>
    </xf>
    <xf numFmtId="0" fontId="17" fillId="0" borderId="17" xfId="0" applyFont="1" applyBorder="1" applyAlignment="1">
      <alignment horizontal="left"/>
    </xf>
    <xf numFmtId="0" fontId="17" fillId="0" borderId="7" xfId="0" applyFont="1" applyBorder="1" applyAlignment="1">
      <alignment horizontal="left"/>
    </xf>
    <xf numFmtId="0" fontId="0" fillId="0" borderId="15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4" fillId="0" borderId="0" xfId="0" applyFont="1" applyAlignment="1">
      <alignment horizontal="left"/>
    </xf>
    <xf numFmtId="0" fontId="12" fillId="0" borderId="0" xfId="0" applyFont="1" applyBorder="1" applyAlignment="1">
      <alignment horizontal="center"/>
    </xf>
    <xf numFmtId="0" fontId="15" fillId="0" borderId="0" xfId="0" applyFont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15" xfId="0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1" fillId="0" borderId="14" xfId="0" applyFont="1" applyBorder="1" applyAlignment="1">
      <alignment horizontal="center" vertical="center" textRotation="90"/>
    </xf>
    <xf numFmtId="0" fontId="0" fillId="0" borderId="0" xfId="0" applyAlignment="1">
      <alignment horizontal="center" vertical="center" textRotation="90"/>
    </xf>
    <xf numFmtId="0" fontId="1" fillId="0" borderId="59" xfId="0" applyFont="1" applyBorder="1" applyAlignment="1">
      <alignment horizontal="center" vertical="center" textRotation="90"/>
    </xf>
    <xf numFmtId="0" fontId="0" fillId="0" borderId="61" xfId="0" applyBorder="1" applyAlignment="1">
      <alignment horizontal="center" vertical="center" textRotation="90"/>
    </xf>
    <xf numFmtId="0" fontId="0" fillId="0" borderId="18" xfId="0" applyBorder="1" applyAlignment="1">
      <alignment horizontal="center" vertical="center" textRotation="90"/>
    </xf>
    <xf numFmtId="0" fontId="0" fillId="0" borderId="0" xfId="0" applyAlignment="1"/>
    <xf numFmtId="0" fontId="0" fillId="0" borderId="61" xfId="0" applyBorder="1" applyAlignment="1"/>
    <xf numFmtId="0" fontId="0" fillId="0" borderId="18" xfId="0" applyBorder="1" applyAlignment="1"/>
    <xf numFmtId="14" fontId="14" fillId="0" borderId="0" xfId="0" applyNumberFormat="1" applyFont="1" applyAlignment="1">
      <alignment horizontal="left"/>
    </xf>
  </cellXfs>
  <cellStyles count="2">
    <cellStyle name="Milliers" xfId="1" builtinId="3"/>
    <cellStyle name="Normal" xfId="0" builtinId="0"/>
  </cellStyles>
  <dxfs count="4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312421</xdr:colOff>
      <xdr:row>32</xdr:row>
      <xdr:rowOff>175260</xdr:rowOff>
    </xdr:from>
    <xdr:to>
      <xdr:col>1</xdr:col>
      <xdr:colOff>2165766</xdr:colOff>
      <xdr:row>57</xdr:row>
      <xdr:rowOff>160276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2B726E42-BD12-48D1-8158-71F3F2B83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1" y="1760220"/>
          <a:ext cx="1853345" cy="29568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30480</xdr:colOff>
      <xdr:row>3</xdr:row>
      <xdr:rowOff>45721</xdr:rowOff>
    </xdr:from>
    <xdr:to>
      <xdr:col>36</xdr:col>
      <xdr:colOff>563422</xdr:colOff>
      <xdr:row>53</xdr:row>
      <xdr:rowOff>13992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23F98364-A92B-4450-A547-90A7C6DC5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1380" y="487681"/>
          <a:ext cx="3504742" cy="31686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281940</xdr:colOff>
      <xdr:row>32</xdr:row>
      <xdr:rowOff>167640</xdr:rowOff>
    </xdr:from>
    <xdr:to>
      <xdr:col>1</xdr:col>
      <xdr:colOff>2135285</xdr:colOff>
      <xdr:row>57</xdr:row>
      <xdr:rowOff>152656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77D33F92-60D7-4155-B338-557245BF3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" y="1752600"/>
          <a:ext cx="1853345" cy="29568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45720</xdr:colOff>
      <xdr:row>3</xdr:row>
      <xdr:rowOff>30480</xdr:rowOff>
    </xdr:from>
    <xdr:to>
      <xdr:col>36</xdr:col>
      <xdr:colOff>578662</xdr:colOff>
      <xdr:row>52</xdr:row>
      <xdr:rowOff>227351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275BEC7F-F5E1-4F71-B851-D8EAFAE04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472440"/>
          <a:ext cx="3504742" cy="31686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32</xdr:row>
      <xdr:rowOff>190500</xdr:rowOff>
    </xdr:from>
    <xdr:to>
      <xdr:col>1</xdr:col>
      <xdr:colOff>2196245</xdr:colOff>
      <xdr:row>57</xdr:row>
      <xdr:rowOff>213616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702AC9F9-EE28-4ABA-B907-E5BC7BB27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2087880"/>
          <a:ext cx="1853345" cy="29568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35</xdr:col>
      <xdr:colOff>15240</xdr:colOff>
      <xdr:row>1</xdr:row>
      <xdr:rowOff>7620</xdr:rowOff>
    </xdr:from>
    <xdr:to>
      <xdr:col>39</xdr:col>
      <xdr:colOff>350062</xdr:colOff>
      <xdr:row>51</xdr:row>
      <xdr:rowOff>151151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7BEB6FD7-BF79-4A59-9DED-C2E4E27C3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6140" y="167640"/>
          <a:ext cx="3504742" cy="31686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274320</xdr:colOff>
      <xdr:row>32</xdr:row>
      <xdr:rowOff>182880</xdr:rowOff>
    </xdr:from>
    <xdr:to>
      <xdr:col>1</xdr:col>
      <xdr:colOff>2127665</xdr:colOff>
      <xdr:row>57</xdr:row>
      <xdr:rowOff>167896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6A906A30-EF51-4E24-B31F-38E952C50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" y="2080260"/>
          <a:ext cx="1853345" cy="29568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15240</xdr:colOff>
      <xdr:row>3</xdr:row>
      <xdr:rowOff>0</xdr:rowOff>
    </xdr:from>
    <xdr:to>
      <xdr:col>36</xdr:col>
      <xdr:colOff>548182</xdr:colOff>
      <xdr:row>52</xdr:row>
      <xdr:rowOff>196871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B0457419-927B-4000-B753-A633A81F8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9020" y="441960"/>
          <a:ext cx="3504742" cy="31686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I74"/>
  <sheetViews>
    <sheetView tabSelected="1" zoomScaleNormal="100" workbookViewId="0">
      <selection activeCell="D42" sqref="D42"/>
    </sheetView>
  </sheetViews>
  <sheetFormatPr baseColWidth="10" defaultRowHeight="13.2" x14ac:dyDescent="0.25"/>
  <cols>
    <col min="1" max="1" width="1.6640625" customWidth="1"/>
    <col min="2" max="2" width="35.77734375" customWidth="1"/>
    <col min="3" max="3" width="2" hidden="1" customWidth="1"/>
    <col min="4" max="4" width="52.109375" bestFit="1" customWidth="1"/>
    <col min="5" max="5" width="13.6640625" customWidth="1"/>
    <col min="6" max="6" width="1.77734375" customWidth="1"/>
    <col min="7" max="7" width="28.88671875" hidden="1" customWidth="1"/>
    <col min="8" max="8" width="7" hidden="1" customWidth="1"/>
    <col min="9" max="9" width="14.77734375" hidden="1" customWidth="1"/>
    <col min="10" max="10" width="13.6640625" hidden="1" customWidth="1"/>
    <col min="11" max="11" width="7.77734375" hidden="1" customWidth="1"/>
    <col min="12" max="14" width="8.6640625" customWidth="1"/>
    <col min="15" max="15" width="5.77734375" customWidth="1"/>
    <col min="16" max="17" width="5.77734375" hidden="1" customWidth="1"/>
    <col min="18" max="35" width="6.77734375" hidden="1" customWidth="1"/>
  </cols>
  <sheetData>
    <row r="1" spans="2:15" ht="12.9" customHeight="1" x14ac:dyDescent="0.25">
      <c r="B1" s="110" t="s">
        <v>61</v>
      </c>
    </row>
    <row r="2" spans="2:15" ht="17.399999999999999" x14ac:dyDescent="0.25">
      <c r="B2" s="172" t="s">
        <v>54</v>
      </c>
      <c r="C2" s="173"/>
      <c r="D2" s="173"/>
      <c r="E2" s="173"/>
    </row>
    <row r="3" spans="2:15" ht="5.0999999999999996" customHeight="1" x14ac:dyDescent="0.25"/>
    <row r="4" spans="2:15" ht="18" customHeight="1" x14ac:dyDescent="0.25">
      <c r="B4" s="36" t="s">
        <v>28</v>
      </c>
      <c r="D4" s="77" t="s">
        <v>11</v>
      </c>
      <c r="E4" s="78">
        <v>3</v>
      </c>
      <c r="G4" s="37" t="s">
        <v>32</v>
      </c>
      <c r="H4" s="38">
        <f>E4/COS(E7*PI()/180)</f>
        <v>3.0462798356572351</v>
      </c>
      <c r="I4" s="167" t="s">
        <v>37</v>
      </c>
      <c r="J4" s="168"/>
      <c r="K4" s="169"/>
    </row>
    <row r="5" spans="2:15" ht="18" hidden="1" customHeight="1" x14ac:dyDescent="0.25">
      <c r="D5" s="77" t="s">
        <v>9</v>
      </c>
      <c r="E5" s="78">
        <v>0</v>
      </c>
    </row>
    <row r="6" spans="2:15" ht="18" customHeight="1" thickBot="1" x14ac:dyDescent="0.35">
      <c r="B6" s="15" t="s">
        <v>19</v>
      </c>
      <c r="D6" s="77" t="s">
        <v>10</v>
      </c>
      <c r="E6" s="78">
        <v>0.7</v>
      </c>
      <c r="I6" s="175"/>
      <c r="J6" s="175"/>
      <c r="L6" s="158"/>
      <c r="M6" s="159"/>
      <c r="N6" s="159"/>
    </row>
    <row r="7" spans="2:15" ht="18" customHeight="1" x14ac:dyDescent="0.25">
      <c r="B7" s="15" t="s">
        <v>18</v>
      </c>
      <c r="D7" s="77" t="s">
        <v>12</v>
      </c>
      <c r="E7" s="79">
        <v>10</v>
      </c>
      <c r="I7" s="34" t="s">
        <v>2</v>
      </c>
      <c r="J7" s="35" t="s">
        <v>23</v>
      </c>
      <c r="L7" s="158"/>
      <c r="M7" s="159"/>
      <c r="N7" s="159"/>
    </row>
    <row r="8" spans="2:15" ht="18" customHeight="1" x14ac:dyDescent="0.25">
      <c r="B8" s="15" t="s">
        <v>60</v>
      </c>
      <c r="D8" s="77" t="s">
        <v>0</v>
      </c>
      <c r="E8" s="79">
        <v>45</v>
      </c>
      <c r="I8" s="18">
        <v>5</v>
      </c>
      <c r="J8" s="19">
        <v>0.8</v>
      </c>
      <c r="L8" s="160"/>
      <c r="M8" s="159"/>
      <c r="N8" s="159"/>
      <c r="O8" s="14"/>
    </row>
    <row r="9" spans="2:15" ht="18" customHeight="1" x14ac:dyDescent="0.25">
      <c r="B9" s="162" t="s">
        <v>53</v>
      </c>
      <c r="D9" s="77" t="s">
        <v>1</v>
      </c>
      <c r="E9" s="79">
        <v>20</v>
      </c>
      <c r="I9" s="18">
        <v>10</v>
      </c>
      <c r="J9" s="19">
        <v>0.8</v>
      </c>
      <c r="O9" s="14"/>
    </row>
    <row r="10" spans="2:15" ht="18" hidden="1" customHeight="1" x14ac:dyDescent="0.25">
      <c r="D10" s="77" t="s">
        <v>17</v>
      </c>
      <c r="E10" s="79">
        <v>200</v>
      </c>
      <c r="I10" s="18">
        <v>15</v>
      </c>
      <c r="J10" s="19">
        <v>0.8</v>
      </c>
      <c r="O10" s="14"/>
    </row>
    <row r="11" spans="2:15" ht="18" hidden="1" customHeight="1" x14ac:dyDescent="0.25">
      <c r="D11" s="75"/>
      <c r="E11" s="76"/>
      <c r="I11" s="18">
        <v>20</v>
      </c>
      <c r="J11" s="19">
        <v>0.8</v>
      </c>
      <c r="O11" s="14"/>
    </row>
    <row r="12" spans="2:15" ht="18" hidden="1" customHeight="1" x14ac:dyDescent="0.25">
      <c r="D12" s="80"/>
      <c r="E12" s="76"/>
      <c r="I12" s="18">
        <v>25</v>
      </c>
      <c r="J12" s="19">
        <v>0.8</v>
      </c>
      <c r="O12" s="14"/>
    </row>
    <row r="13" spans="2:15" ht="18" hidden="1" customHeight="1" x14ac:dyDescent="0.25">
      <c r="D13" s="11" t="s">
        <v>29</v>
      </c>
      <c r="E13" s="100">
        <v>326.69</v>
      </c>
      <c r="G13" s="37" t="s">
        <v>30</v>
      </c>
      <c r="H13">
        <f>70000000000*(E13/100000000)</f>
        <v>228683</v>
      </c>
      <c r="I13" s="18">
        <v>30</v>
      </c>
      <c r="J13" s="19">
        <f t="shared" ref="J13:J18" si="0">0.8*(60-$I13)/30</f>
        <v>0.8</v>
      </c>
    </row>
    <row r="14" spans="2:15" ht="18" hidden="1" customHeight="1" x14ac:dyDescent="0.25">
      <c r="D14" s="11" t="s">
        <v>20</v>
      </c>
      <c r="E14" s="101">
        <v>144</v>
      </c>
      <c r="G14" s="37" t="s">
        <v>31</v>
      </c>
      <c r="H14">
        <f>(210000000000*(E14/100000000))+H13</f>
        <v>531083</v>
      </c>
      <c r="I14" s="18">
        <v>31</v>
      </c>
      <c r="J14" s="19">
        <f t="shared" si="0"/>
        <v>0.77333333333333343</v>
      </c>
    </row>
    <row r="15" spans="2:15" ht="18" hidden="1" customHeight="1" x14ac:dyDescent="0.25">
      <c r="D15" s="11" t="s">
        <v>16</v>
      </c>
      <c r="E15" s="101">
        <f>ROUND(E5/E6,0)</f>
        <v>0</v>
      </c>
      <c r="I15" s="18">
        <v>32</v>
      </c>
      <c r="J15" s="19">
        <f t="shared" si="0"/>
        <v>0.7466666666666667</v>
      </c>
    </row>
    <row r="16" spans="2:15" ht="18" hidden="1" customHeight="1" x14ac:dyDescent="0.25">
      <c r="D16" s="1" t="s">
        <v>14</v>
      </c>
      <c r="E16" s="102">
        <v>4.492</v>
      </c>
      <c r="I16" s="18">
        <v>33</v>
      </c>
      <c r="J16" s="19">
        <f t="shared" si="0"/>
        <v>0.72000000000000008</v>
      </c>
    </row>
    <row r="17" spans="3:16" ht="18" hidden="1" customHeight="1" x14ac:dyDescent="0.25">
      <c r="D17" s="1" t="s">
        <v>15</v>
      </c>
      <c r="E17" s="102">
        <v>13.912000000000001</v>
      </c>
      <c r="I17" s="20">
        <v>34</v>
      </c>
      <c r="J17" s="19">
        <f t="shared" si="0"/>
        <v>0.69333333333333336</v>
      </c>
    </row>
    <row r="18" spans="3:16" ht="18" hidden="1" customHeight="1" thickBot="1" x14ac:dyDescent="0.3">
      <c r="D18" s="1" t="s">
        <v>3</v>
      </c>
      <c r="E18" s="102">
        <v>2.2549999999999999</v>
      </c>
      <c r="I18" s="21">
        <v>35</v>
      </c>
      <c r="J18" s="22">
        <f t="shared" si="0"/>
        <v>0.66666666666666663</v>
      </c>
    </row>
    <row r="19" spans="3:16" ht="18" hidden="1" customHeight="1" x14ac:dyDescent="0.25">
      <c r="D19" s="1" t="s">
        <v>4</v>
      </c>
      <c r="E19" s="102">
        <v>8.5660000000000007</v>
      </c>
      <c r="I19" s="23" t="s">
        <v>21</v>
      </c>
      <c r="J19" s="24">
        <f>VLOOKUP(E7,$I$8:$J$18,2)</f>
        <v>0.8</v>
      </c>
    </row>
    <row r="20" spans="3:16" ht="18" hidden="1" customHeight="1" x14ac:dyDescent="0.25">
      <c r="D20" s="39"/>
      <c r="E20" s="40"/>
      <c r="F20" s="4"/>
      <c r="G20" s="4"/>
      <c r="H20" s="4"/>
      <c r="I20" s="25" t="s">
        <v>27</v>
      </c>
      <c r="J20" s="26">
        <f>$J$19*$E$8</f>
        <v>36</v>
      </c>
    </row>
    <row r="21" spans="3:16" ht="18" hidden="1" customHeight="1" thickBot="1" x14ac:dyDescent="0.3">
      <c r="D21" s="12"/>
      <c r="E21" s="5"/>
      <c r="F21" s="4"/>
      <c r="G21" s="4"/>
      <c r="H21" s="4"/>
      <c r="I21" s="27" t="s">
        <v>22</v>
      </c>
      <c r="J21" s="28">
        <f>E5-(0.041*2)-(0.022*E15)</f>
        <v>-8.2000000000000003E-2</v>
      </c>
    </row>
    <row r="22" spans="3:16" s="3" customFormat="1" ht="18" hidden="1" customHeight="1" x14ac:dyDescent="0.25">
      <c r="C22" s="170">
        <v>1</v>
      </c>
      <c r="D22" s="2"/>
      <c r="E22" s="104"/>
      <c r="F22" s="5"/>
      <c r="G22" s="5"/>
      <c r="H22" s="5"/>
      <c r="I22" s="174" t="s">
        <v>25</v>
      </c>
      <c r="J22" s="174"/>
      <c r="K22" s="174"/>
    </row>
    <row r="23" spans="3:16" ht="18" hidden="1" customHeight="1" x14ac:dyDescent="0.25">
      <c r="C23" s="171"/>
      <c r="D23" s="1" t="s">
        <v>5</v>
      </c>
      <c r="E23" s="104">
        <f>($J$20*E4/2)+(((E9*(1-0.088))+($E$18/$E$6))*(H4/2))+$E$16</f>
        <v>91.180758550770477</v>
      </c>
      <c r="F23" s="4"/>
      <c r="G23" s="43"/>
      <c r="H23" s="4"/>
      <c r="I23" s="176" t="s">
        <v>26</v>
      </c>
      <c r="J23" s="177"/>
      <c r="K23" s="177"/>
    </row>
    <row r="24" spans="3:16" ht="18" hidden="1" customHeight="1" x14ac:dyDescent="0.25">
      <c r="C24" s="178">
        <v>2</v>
      </c>
      <c r="D24" s="1"/>
      <c r="E24" s="104"/>
      <c r="F24" s="4"/>
      <c r="G24" s="4"/>
      <c r="H24" s="4"/>
    </row>
    <row r="25" spans="3:16" ht="18" hidden="1" customHeight="1" x14ac:dyDescent="0.25">
      <c r="C25" s="171"/>
      <c r="D25" s="1" t="s">
        <v>7</v>
      </c>
      <c r="E25" s="104">
        <f>($J$20*E4/2)+(((E9*(1-0.088))+(E19/E6))*(H4/2))+E16</f>
        <v>104.91295286707962</v>
      </c>
      <c r="F25" s="4"/>
      <c r="G25" s="4"/>
      <c r="H25" s="4"/>
    </row>
    <row r="26" spans="3:16" ht="18" hidden="1" customHeight="1" x14ac:dyDescent="0.25">
      <c r="C26" s="178">
        <v>3</v>
      </c>
      <c r="D26" s="1"/>
      <c r="E26" s="104"/>
      <c r="F26" s="4"/>
      <c r="G26" s="4"/>
      <c r="H26" s="4"/>
    </row>
    <row r="27" spans="3:16" ht="18" hidden="1" customHeight="1" x14ac:dyDescent="0.25">
      <c r="C27" s="171"/>
      <c r="D27" s="1" t="s">
        <v>6</v>
      </c>
      <c r="E27" s="104">
        <f>($J$20*E4/2)+(((E9*(1-0.088))+(E18/E6))*(H4/2))+E17</f>
        <v>100.60075855077048</v>
      </c>
      <c r="F27" s="4"/>
      <c r="G27" s="4"/>
      <c r="H27" s="4"/>
    </row>
    <row r="28" spans="3:16" ht="18" hidden="1" customHeight="1" x14ac:dyDescent="0.25">
      <c r="C28" s="178">
        <v>4</v>
      </c>
      <c r="D28" s="1"/>
      <c r="E28" s="104"/>
      <c r="F28" s="4"/>
      <c r="G28" s="4"/>
      <c r="H28" s="4"/>
    </row>
    <row r="29" spans="3:16" ht="18" hidden="1" customHeight="1" x14ac:dyDescent="0.25">
      <c r="C29" s="171"/>
      <c r="D29" s="1" t="s">
        <v>8</v>
      </c>
      <c r="E29" s="104">
        <f>($J$20*E4/2)+(((E9*(1-0.088))+(E19/E6))*(H4/2))+E17</f>
        <v>114.33295286707963</v>
      </c>
      <c r="F29" s="4"/>
      <c r="G29" s="4"/>
      <c r="H29" s="4"/>
    </row>
    <row r="30" spans="3:16" ht="18" hidden="1" customHeight="1" x14ac:dyDescent="0.25">
      <c r="D30" s="12"/>
      <c r="E30" s="5"/>
      <c r="F30" s="4"/>
      <c r="G30" s="4"/>
      <c r="H30" s="4"/>
    </row>
    <row r="31" spans="3:16" ht="18" hidden="1" customHeight="1" x14ac:dyDescent="0.3">
      <c r="C31" s="181"/>
      <c r="D31" s="182"/>
      <c r="E31" s="128"/>
      <c r="F31" s="4"/>
      <c r="G31" s="4"/>
      <c r="H31" s="4"/>
    </row>
    <row r="32" spans="3:16" ht="25.05" hidden="1" customHeight="1" x14ac:dyDescent="0.25">
      <c r="D32" s="179"/>
      <c r="E32" s="180"/>
      <c r="F32" s="4"/>
      <c r="G32" s="4"/>
      <c r="H32" s="4"/>
      <c r="P32" s="54" t="s">
        <v>40</v>
      </c>
    </row>
    <row r="33" spans="3:35" ht="18" customHeight="1" x14ac:dyDescent="0.3">
      <c r="C33" s="44"/>
      <c r="D33" s="44"/>
      <c r="E33" s="130"/>
      <c r="F33" s="6"/>
      <c r="H33" s="7"/>
      <c r="P33" s="106" t="s">
        <v>38</v>
      </c>
      <c r="Q33" s="107"/>
      <c r="R33" s="51">
        <v>2</v>
      </c>
      <c r="S33" s="52">
        <v>2</v>
      </c>
      <c r="T33" s="51">
        <v>2.5</v>
      </c>
      <c r="U33" s="53">
        <v>2.5</v>
      </c>
      <c r="V33" s="52">
        <v>3</v>
      </c>
      <c r="W33" s="52">
        <v>3</v>
      </c>
      <c r="X33" s="51">
        <v>3.5</v>
      </c>
      <c r="Y33" s="53">
        <v>3.5</v>
      </c>
      <c r="Z33" s="52">
        <v>4</v>
      </c>
      <c r="AA33" s="52">
        <v>4</v>
      </c>
      <c r="AB33" s="51">
        <v>4.5</v>
      </c>
      <c r="AC33" s="53">
        <v>4.5</v>
      </c>
      <c r="AD33" s="52">
        <v>5</v>
      </c>
      <c r="AE33" s="52">
        <v>5</v>
      </c>
      <c r="AF33" s="51">
        <v>5.5</v>
      </c>
      <c r="AG33" s="52">
        <v>5.5</v>
      </c>
      <c r="AH33" s="51">
        <v>6</v>
      </c>
      <c r="AI33" s="53">
        <v>6</v>
      </c>
    </row>
    <row r="34" spans="3:35" ht="18" hidden="1" customHeight="1" x14ac:dyDescent="0.3">
      <c r="C34" s="44">
        <v>1</v>
      </c>
      <c r="D34" s="136" t="s">
        <v>33</v>
      </c>
      <c r="E34" s="132">
        <f>(((384*$H$13*100000)/(5*$E23*$E$10))^(1/3))/100</f>
        <v>4.5837469585973798</v>
      </c>
      <c r="F34" s="6"/>
      <c r="G34" s="7"/>
      <c r="H34" s="7"/>
      <c r="P34" s="108" t="s">
        <v>2</v>
      </c>
      <c r="Q34" s="109"/>
      <c r="R34" s="55">
        <v>5</v>
      </c>
      <c r="S34" s="67">
        <v>20</v>
      </c>
      <c r="T34" s="55">
        <v>5</v>
      </c>
      <c r="U34" s="57">
        <v>20</v>
      </c>
      <c r="V34" s="71">
        <v>5</v>
      </c>
      <c r="W34" s="67">
        <v>20</v>
      </c>
      <c r="X34" s="55">
        <v>5</v>
      </c>
      <c r="Y34" s="57">
        <v>20</v>
      </c>
      <c r="Z34" s="71">
        <v>5</v>
      </c>
      <c r="AA34" s="67">
        <v>20</v>
      </c>
      <c r="AB34" s="55">
        <v>5</v>
      </c>
      <c r="AC34" s="57">
        <v>20</v>
      </c>
      <c r="AD34" s="71">
        <v>5</v>
      </c>
      <c r="AE34" s="56">
        <v>20</v>
      </c>
      <c r="AF34" s="56">
        <v>5</v>
      </c>
      <c r="AG34" s="67">
        <v>20</v>
      </c>
      <c r="AH34" s="55">
        <v>5</v>
      </c>
      <c r="AI34" s="57">
        <v>20</v>
      </c>
    </row>
    <row r="35" spans="3:35" ht="18" hidden="1" customHeight="1" x14ac:dyDescent="0.3">
      <c r="C35" s="44"/>
      <c r="D35" s="137" t="s">
        <v>56</v>
      </c>
      <c r="E35" s="46"/>
      <c r="F35" s="6"/>
      <c r="G35" s="7"/>
      <c r="H35" s="7"/>
      <c r="P35" s="164" t="s">
        <v>39</v>
      </c>
      <c r="Q35" s="118">
        <v>45</v>
      </c>
      <c r="R35" s="58">
        <f t="shared" ref="R35:AA39" si="1">(((384*$H$13*100000)/(5*((((VLOOKUP(R$34,$I$8:$J$18,2))*$Q35)*R$33/2)+((($E$9*(1-0.088))+($E$18/$E$6))*((R$33/COS(R$34*PI()/180))/2))+$E$16)*$E$10))^(1/3))/100</f>
        <v>5.2116489527627925</v>
      </c>
      <c r="S35" s="68">
        <f t="shared" si="1"/>
        <v>5.175870879680077</v>
      </c>
      <c r="T35" s="58">
        <f t="shared" si="1"/>
        <v>4.8616494162459469</v>
      </c>
      <c r="U35" s="60">
        <f t="shared" si="1"/>
        <v>4.8277904511124339</v>
      </c>
      <c r="V35" s="72">
        <f t="shared" si="1"/>
        <v>4.5900253187928248</v>
      </c>
      <c r="W35" s="68">
        <f t="shared" si="1"/>
        <v>4.557746239851812</v>
      </c>
      <c r="X35" s="58">
        <f t="shared" si="1"/>
        <v>4.3704498209909701</v>
      </c>
      <c r="Y35" s="60">
        <f t="shared" si="1"/>
        <v>4.3394992343392884</v>
      </c>
      <c r="Z35" s="72">
        <f t="shared" si="1"/>
        <v>4.1876491271387399</v>
      </c>
      <c r="AA35" s="68">
        <f t="shared" si="1"/>
        <v>4.1578362032979195</v>
      </c>
      <c r="AB35" s="58">
        <f t="shared" ref="AB35:AI39" si="2">(((384*$H$13*100000)/(5*((((VLOOKUP(AB$34,$I$8:$J$18,2))*$Q35)*AB$33/2)+((($E$9*(1-0.088))+($E$18/$E$6))*((AB$33/COS(AB$34*PI()/180))/2))+$E$16)*$E$10))^(1/3))/100</f>
        <v>4.0320410502106947</v>
      </c>
      <c r="AC35" s="60">
        <f t="shared" si="2"/>
        <v>4.0032173365804189</v>
      </c>
      <c r="AD35" s="72">
        <f t="shared" si="2"/>
        <v>3.8972537003531844</v>
      </c>
      <c r="AE35" s="59">
        <f t="shared" si="2"/>
        <v>3.8693011417443999</v>
      </c>
      <c r="AF35" s="59">
        <f t="shared" si="2"/>
        <v>3.7788544031471667</v>
      </c>
      <c r="AG35" s="68">
        <f t="shared" si="2"/>
        <v>3.7516773062671431</v>
      </c>
      <c r="AH35" s="58">
        <f t="shared" si="2"/>
        <v>3.6736463863403954</v>
      </c>
      <c r="AI35" s="60">
        <f t="shared" si="2"/>
        <v>3.6471658940647402</v>
      </c>
    </row>
    <row r="36" spans="3:35" ht="18" hidden="1" customHeight="1" x14ac:dyDescent="0.3">
      <c r="C36" s="44"/>
      <c r="D36" s="45"/>
      <c r="E36" s="46"/>
      <c r="F36" s="6"/>
      <c r="G36" s="7"/>
      <c r="H36" s="7"/>
      <c r="P36" s="165"/>
      <c r="Q36" s="119">
        <v>55</v>
      </c>
      <c r="R36" s="61">
        <f t="shared" si="1"/>
        <v>5.005135215774283</v>
      </c>
      <c r="S36" s="69">
        <f t="shared" si="1"/>
        <v>4.9746521735801901</v>
      </c>
      <c r="T36" s="61">
        <f t="shared" si="1"/>
        <v>4.6663950671133803</v>
      </c>
      <c r="U36" s="63">
        <f t="shared" si="1"/>
        <v>4.6376103063747776</v>
      </c>
      <c r="V36" s="73">
        <f t="shared" si="1"/>
        <v>4.4040000562938566</v>
      </c>
      <c r="W36" s="69">
        <f t="shared" si="1"/>
        <v>4.3765994299412538</v>
      </c>
      <c r="X36" s="61">
        <f t="shared" si="1"/>
        <v>4.19216301797666</v>
      </c>
      <c r="Y36" s="63">
        <f t="shared" si="1"/>
        <v>4.165918604908736</v>
      </c>
      <c r="Z36" s="73">
        <f t="shared" si="1"/>
        <v>4.0159758266925722</v>
      </c>
      <c r="AA36" s="69">
        <f t="shared" si="1"/>
        <v>3.9907168999806406</v>
      </c>
      <c r="AB36" s="61">
        <f t="shared" si="2"/>
        <v>3.8661095893483544</v>
      </c>
      <c r="AC36" s="63">
        <f t="shared" si="2"/>
        <v>3.8417045452688656</v>
      </c>
      <c r="AD36" s="73">
        <f t="shared" si="2"/>
        <v>3.7363729125033327</v>
      </c>
      <c r="AE36" s="62">
        <f t="shared" si="2"/>
        <v>3.712717794547439</v>
      </c>
      <c r="AF36" s="62">
        <f t="shared" si="2"/>
        <v>3.6224652849196657</v>
      </c>
      <c r="AG36" s="69">
        <f t="shared" si="2"/>
        <v>3.5994762596591712</v>
      </c>
      <c r="AH36" s="61">
        <f t="shared" si="2"/>
        <v>3.5212890920067337</v>
      </c>
      <c r="AI36" s="63">
        <f t="shared" si="2"/>
        <v>3.4988973557373959</v>
      </c>
    </row>
    <row r="37" spans="3:35" ht="18" hidden="1" customHeight="1" x14ac:dyDescent="0.3">
      <c r="C37" s="44"/>
      <c r="D37" s="45"/>
      <c r="E37" s="46"/>
      <c r="F37" s="6"/>
      <c r="G37" s="7"/>
      <c r="H37" s="7"/>
      <c r="P37" s="165"/>
      <c r="Q37" s="119">
        <v>65</v>
      </c>
      <c r="R37" s="61">
        <f t="shared" si="1"/>
        <v>4.8278948245626392</v>
      </c>
      <c r="S37" s="69">
        <f t="shared" si="1"/>
        <v>4.8014727557779722</v>
      </c>
      <c r="T37" s="61">
        <f t="shared" si="1"/>
        <v>4.4991530611614943</v>
      </c>
      <c r="U37" s="63">
        <f t="shared" si="1"/>
        <v>4.4742465128628659</v>
      </c>
      <c r="V37" s="73">
        <f t="shared" si="1"/>
        <v>4.2448802015171738</v>
      </c>
      <c r="W37" s="69">
        <f t="shared" si="1"/>
        <v>4.2211994225229761</v>
      </c>
      <c r="X37" s="61">
        <f t="shared" si="1"/>
        <v>4.039813111571644</v>
      </c>
      <c r="Y37" s="63">
        <f t="shared" si="1"/>
        <v>4.0171510724450963</v>
      </c>
      <c r="Z37" s="73">
        <f t="shared" si="1"/>
        <v>3.8693872722650373</v>
      </c>
      <c r="AA37" s="69">
        <f t="shared" si="1"/>
        <v>3.8475904050092748</v>
      </c>
      <c r="AB37" s="61">
        <f t="shared" si="2"/>
        <v>3.7245072057091759</v>
      </c>
      <c r="AC37" s="63">
        <f t="shared" si="2"/>
        <v>3.7034579386268276</v>
      </c>
      <c r="AD37" s="73">
        <f t="shared" si="2"/>
        <v>3.5991456974914633</v>
      </c>
      <c r="AE37" s="62">
        <f t="shared" si="2"/>
        <v>3.5787516255954999</v>
      </c>
      <c r="AF37" s="62">
        <f t="shared" si="2"/>
        <v>3.4891213322185637</v>
      </c>
      <c r="AG37" s="69">
        <f t="shared" si="2"/>
        <v>3.4693082265889688</v>
      </c>
      <c r="AH37" s="61">
        <f t="shared" si="2"/>
        <v>3.3914252198378265</v>
      </c>
      <c r="AI37" s="63">
        <f t="shared" si="2"/>
        <v>3.3721323472532823</v>
      </c>
    </row>
    <row r="38" spans="3:35" ht="18" hidden="1" customHeight="1" x14ac:dyDescent="0.3">
      <c r="C38" s="44"/>
      <c r="D38" s="45"/>
      <c r="E38" s="46"/>
      <c r="F38" s="6"/>
      <c r="G38" s="7"/>
      <c r="H38" s="7"/>
      <c r="P38" s="165"/>
      <c r="Q38" s="120">
        <v>90</v>
      </c>
      <c r="R38" s="64">
        <f t="shared" si="1"/>
        <v>4.4743235095778502</v>
      </c>
      <c r="S38" s="70">
        <f t="shared" si="1"/>
        <v>4.4547885364179542</v>
      </c>
      <c r="T38" s="64">
        <f t="shared" si="1"/>
        <v>4.1663599745597688</v>
      </c>
      <c r="U38" s="66">
        <f t="shared" si="1"/>
        <v>4.1480028144610408</v>
      </c>
      <c r="V38" s="74">
        <f t="shared" si="1"/>
        <v>3.9287862824197499</v>
      </c>
      <c r="W38" s="70">
        <f t="shared" si="1"/>
        <v>3.9113694358416153</v>
      </c>
      <c r="X38" s="64">
        <f t="shared" si="1"/>
        <v>3.7375392385930035</v>
      </c>
      <c r="Y38" s="66">
        <f t="shared" si="1"/>
        <v>3.7208971185149431</v>
      </c>
      <c r="Z38" s="74">
        <f t="shared" si="1"/>
        <v>3.5788146558619247</v>
      </c>
      <c r="AA38" s="70">
        <f t="shared" si="1"/>
        <v>3.5628263860875768</v>
      </c>
      <c r="AB38" s="64">
        <f t="shared" si="2"/>
        <v>3.4440227166257755</v>
      </c>
      <c r="AC38" s="66">
        <f t="shared" si="2"/>
        <v>3.4285967962502837</v>
      </c>
      <c r="AD38" s="74">
        <f t="shared" si="2"/>
        <v>3.3274867457092454</v>
      </c>
      <c r="AE38" s="65">
        <f t="shared" si="2"/>
        <v>3.3125518648982317</v>
      </c>
      <c r="AF38" s="65">
        <f t="shared" si="2"/>
        <v>3.2252769245697412</v>
      </c>
      <c r="AG38" s="70">
        <f t="shared" si="2"/>
        <v>3.2107761742020773</v>
      </c>
      <c r="AH38" s="64">
        <f t="shared" si="2"/>
        <v>3.1345702843380843</v>
      </c>
      <c r="AI38" s="66">
        <f t="shared" si="2"/>
        <v>3.1204573450970066</v>
      </c>
    </row>
    <row r="39" spans="3:35" ht="18" hidden="1" customHeight="1" x14ac:dyDescent="0.25">
      <c r="C39" s="44"/>
      <c r="D39" s="44"/>
      <c r="E39" s="130"/>
      <c r="F39" s="8"/>
      <c r="G39" s="7"/>
      <c r="H39" s="7"/>
      <c r="P39" s="166"/>
      <c r="Q39" s="111">
        <v>140</v>
      </c>
      <c r="R39" s="112">
        <f t="shared" si="1"/>
        <v>3.9920092072084787</v>
      </c>
      <c r="S39" s="113">
        <f t="shared" si="1"/>
        <v>3.9795993436647206</v>
      </c>
      <c r="T39" s="112">
        <f t="shared" si="1"/>
        <v>3.7139279515134316</v>
      </c>
      <c r="U39" s="114">
        <f t="shared" si="1"/>
        <v>3.7023073896365104</v>
      </c>
      <c r="V39" s="115">
        <f t="shared" si="1"/>
        <v>3.5000428192040793</v>
      </c>
      <c r="W39" s="113">
        <f t="shared" si="1"/>
        <v>3.4890437480986454</v>
      </c>
      <c r="X39" s="112">
        <f t="shared" si="1"/>
        <v>3.3282202536721757</v>
      </c>
      <c r="Y39" s="114">
        <f t="shared" si="1"/>
        <v>3.3177284768340178</v>
      </c>
      <c r="Z39" s="115">
        <f t="shared" si="1"/>
        <v>3.1858334790562806</v>
      </c>
      <c r="AA39" s="113">
        <f t="shared" si="1"/>
        <v>3.1757669770132551</v>
      </c>
      <c r="AB39" s="112">
        <f t="shared" si="2"/>
        <v>3.0650567961374828</v>
      </c>
      <c r="AC39" s="114">
        <f t="shared" si="2"/>
        <v>3.0553542015656077</v>
      </c>
      <c r="AD39" s="115">
        <f t="shared" si="2"/>
        <v>2.9607341927682778</v>
      </c>
      <c r="AE39" s="116">
        <f t="shared" si="2"/>
        <v>2.9513480987777676</v>
      </c>
      <c r="AF39" s="116">
        <f t="shared" si="2"/>
        <v>2.8693047900199202</v>
      </c>
      <c r="AG39" s="113">
        <f t="shared" si="2"/>
        <v>2.8601976226108987</v>
      </c>
      <c r="AH39" s="112">
        <f t="shared" si="2"/>
        <v>2.7882155566563149</v>
      </c>
      <c r="AI39" s="114">
        <f t="shared" si="2"/>
        <v>2.7793569022711222</v>
      </c>
    </row>
    <row r="40" spans="3:35" ht="18" customHeight="1" x14ac:dyDescent="0.3">
      <c r="C40" s="44">
        <v>2</v>
      </c>
      <c r="D40" s="163" t="s">
        <v>57</v>
      </c>
      <c r="E40" s="132">
        <f>1.08*((((384*$H$13*100000)/(5*$E25*E10))^(1/3))/100)</f>
        <v>4.7242813494392015</v>
      </c>
      <c r="F40" s="8"/>
      <c r="G40" s="7"/>
      <c r="H40" s="7"/>
      <c r="P40" s="54" t="s">
        <v>42</v>
      </c>
    </row>
    <row r="41" spans="3:35" ht="18" customHeight="1" x14ac:dyDescent="0.25">
      <c r="C41" s="44"/>
      <c r="D41" s="45"/>
      <c r="E41" s="47"/>
      <c r="F41" s="8"/>
      <c r="G41" s="7"/>
      <c r="H41" s="7"/>
      <c r="P41" s="164" t="s">
        <v>39</v>
      </c>
      <c r="Q41" s="138">
        <v>45</v>
      </c>
      <c r="R41" s="152">
        <f t="shared" ref="R41:AI41" si="3">1.08*((((384*$H$13*100000)/(5*((((VLOOKUP(R$34,$I$8:$J$18,2))*$Q35)*R$33/2)+((($E$9*(1-0.088))+($E$19/$E$6))*((R$33/COS(R$34*PI()/180))/2))+$E$16)*$E$10))^(1/3))/100)</f>
        <v>5.3787950065133323</v>
      </c>
      <c r="S41" s="152">
        <f t="shared" si="3"/>
        <v>5.333182558229427</v>
      </c>
      <c r="T41" s="152">
        <f t="shared" si="3"/>
        <v>5.0144452643213429</v>
      </c>
      <c r="U41" s="152">
        <f t="shared" si="3"/>
        <v>4.9713875205075961</v>
      </c>
      <c r="V41" s="152">
        <f t="shared" si="3"/>
        <v>4.7322728820835813</v>
      </c>
      <c r="W41" s="152">
        <f t="shared" si="3"/>
        <v>4.6912943653211165</v>
      </c>
      <c r="X41" s="152">
        <f t="shared" si="3"/>
        <v>4.504503255107398</v>
      </c>
      <c r="Y41" s="152">
        <f t="shared" si="3"/>
        <v>4.4652599776530959</v>
      </c>
      <c r="Z41" s="152">
        <f t="shared" si="3"/>
        <v>4.3150857336156063</v>
      </c>
      <c r="AA41" s="152">
        <f t="shared" si="3"/>
        <v>4.277320493604476</v>
      </c>
      <c r="AB41" s="152">
        <f t="shared" si="3"/>
        <v>4.1539794108441885</v>
      </c>
      <c r="AC41" s="152">
        <f t="shared" si="3"/>
        <v>4.1174941950972057</v>
      </c>
      <c r="AD41" s="152">
        <f t="shared" si="3"/>
        <v>4.0145218236893321</v>
      </c>
      <c r="AE41" s="152">
        <f t="shared" si="3"/>
        <v>3.9791603623871392</v>
      </c>
      <c r="AF41" s="152">
        <f t="shared" si="3"/>
        <v>3.8920860668685742</v>
      </c>
      <c r="AG41" s="152">
        <f t="shared" si="3"/>
        <v>3.8577224294196348</v>
      </c>
      <c r="AH41" s="152">
        <f t="shared" si="3"/>
        <v>3.7833398982372834</v>
      </c>
      <c r="AI41" s="153">
        <f t="shared" si="3"/>
        <v>3.7498707893967893</v>
      </c>
    </row>
    <row r="42" spans="3:35" ht="18" customHeight="1" x14ac:dyDescent="0.25">
      <c r="C42" s="44"/>
      <c r="D42" s="45"/>
      <c r="E42" s="47"/>
      <c r="F42" s="8"/>
      <c r="G42" s="7"/>
      <c r="H42" s="7"/>
      <c r="P42" s="165"/>
      <c r="Q42" s="139">
        <v>55</v>
      </c>
      <c r="R42" s="141">
        <f t="shared" ref="R42:AI42" si="4">1.08*((((384*$H$13*100000)/(5*((((VLOOKUP(R$34,$I$8:$J$18,2))*$Q36)*R$33/2)+((($E$9*(1-0.088))+($E$19/$E$6))*((R$33/COS(R$34*PI()/180))/2))+$E$16)*$E$10))^(1/3))/100)</f>
        <v>5.1909445702526451</v>
      </c>
      <c r="S42" s="141">
        <f t="shared" si="4"/>
        <v>5.1513103151263682</v>
      </c>
      <c r="T42" s="141">
        <f t="shared" si="4"/>
        <v>4.8372326136663633</v>
      </c>
      <c r="U42" s="141">
        <f t="shared" si="4"/>
        <v>4.7998811839669351</v>
      </c>
      <c r="V42" s="141">
        <f t="shared" si="4"/>
        <v>4.5636930644065394</v>
      </c>
      <c r="W42" s="141">
        <f t="shared" si="4"/>
        <v>4.5281859978138259</v>
      </c>
      <c r="X42" s="141">
        <f t="shared" si="4"/>
        <v>4.3431142189134189</v>
      </c>
      <c r="Y42" s="141">
        <f t="shared" si="4"/>
        <v>4.3091388951333061</v>
      </c>
      <c r="Z42" s="141">
        <f t="shared" si="4"/>
        <v>4.1598132552764291</v>
      </c>
      <c r="AA42" s="141">
        <f t="shared" si="4"/>
        <v>4.1271380999141813</v>
      </c>
      <c r="AB42" s="141">
        <f t="shared" si="4"/>
        <v>4.0039986143890438</v>
      </c>
      <c r="AC42" s="141">
        <f t="shared" si="4"/>
        <v>3.9724465044798891</v>
      </c>
      <c r="AD42" s="141">
        <f t="shared" si="4"/>
        <v>3.8691829707616945</v>
      </c>
      <c r="AE42" s="141">
        <f t="shared" si="4"/>
        <v>3.8386147965843387</v>
      </c>
      <c r="AF42" s="141">
        <f t="shared" si="4"/>
        <v>3.750866334099372</v>
      </c>
      <c r="AG42" s="141">
        <f t="shared" si="4"/>
        <v>3.7211704104379799</v>
      </c>
      <c r="AH42" s="141">
        <f t="shared" si="4"/>
        <v>3.6458109382482164</v>
      </c>
      <c r="AI42" s="154">
        <f t="shared" si="4"/>
        <v>3.6168959257188553</v>
      </c>
    </row>
    <row r="43" spans="3:35" ht="18" customHeight="1" x14ac:dyDescent="0.25">
      <c r="C43" s="44"/>
      <c r="D43" s="45"/>
      <c r="E43" s="47"/>
      <c r="F43" s="8"/>
      <c r="G43" s="7"/>
      <c r="H43" s="7"/>
      <c r="P43" s="165"/>
      <c r="Q43" s="139">
        <v>65</v>
      </c>
      <c r="R43" s="141">
        <f t="shared" ref="R43:AI43" si="5">1.08*((((384*$H$13*100000)/(5*((((VLOOKUP(R$34,$I$8:$J$18,2))*$Q37)*R$33/2)+((($E$9*(1-0.088))+($E$19/$E$6))*((R$33/COS(R$34*PI()/180))/2))+$E$16)*$E$10))^(1/3))/100)</f>
        <v>5.0268594193858824</v>
      </c>
      <c r="S43" s="141">
        <f t="shared" si="5"/>
        <v>4.9919551304830865</v>
      </c>
      <c r="T43" s="141">
        <f t="shared" si="5"/>
        <v>4.6826812369150614</v>
      </c>
      <c r="U43" s="141">
        <f t="shared" si="5"/>
        <v>4.6498325769296169</v>
      </c>
      <c r="V43" s="141">
        <f t="shared" si="5"/>
        <v>4.4168267104563208</v>
      </c>
      <c r="W43" s="141">
        <f t="shared" si="5"/>
        <v>4.3856292294783641</v>
      </c>
      <c r="X43" s="141">
        <f t="shared" si="5"/>
        <v>4.202620551757974</v>
      </c>
      <c r="Y43" s="141">
        <f t="shared" si="5"/>
        <v>4.1727890633729201</v>
      </c>
      <c r="Z43" s="141">
        <f t="shared" si="5"/>
        <v>4.0247229345539459</v>
      </c>
      <c r="AA43" s="141">
        <f t="shared" si="5"/>
        <v>3.9960477054276007</v>
      </c>
      <c r="AB43" s="141">
        <f t="shared" si="5"/>
        <v>3.8735717156027443</v>
      </c>
      <c r="AC43" s="141">
        <f t="shared" si="5"/>
        <v>3.8458931424135199</v>
      </c>
      <c r="AD43" s="141">
        <f t="shared" si="5"/>
        <v>3.7428392358127569</v>
      </c>
      <c r="AE43" s="141">
        <f t="shared" si="5"/>
        <v>3.7160324424368523</v>
      </c>
      <c r="AF43" s="141">
        <f t="shared" si="5"/>
        <v>3.62814043654652</v>
      </c>
      <c r="AG43" s="141">
        <f t="shared" si="5"/>
        <v>3.6021054589705264</v>
      </c>
      <c r="AH43" s="141">
        <f t="shared" si="5"/>
        <v>3.5263226709402415</v>
      </c>
      <c r="AI43" s="154">
        <f t="shared" si="5"/>
        <v>3.5009779468337472</v>
      </c>
    </row>
    <row r="44" spans="3:35" ht="18" customHeight="1" x14ac:dyDescent="0.25">
      <c r="C44" s="44"/>
      <c r="D44" s="45"/>
      <c r="E44" s="47"/>
      <c r="F44" s="8"/>
      <c r="G44" s="7"/>
      <c r="H44" s="7"/>
      <c r="P44" s="165"/>
      <c r="Q44" s="140">
        <v>90</v>
      </c>
      <c r="R44" s="141">
        <f t="shared" ref="R44:AI44" si="6">1.08*((((384*$H$13*100000)/(5*((((VLOOKUP(R$34,$I$8:$J$18,2))*$Q38)*R$33/2)+((($E$9*(1-0.088))+($E$19/$E$6))*((R$33/COS(R$34*PI()/180))/2))+$E$16)*$E$10))^(1/3))/100)</f>
        <v>4.6921132491713946</v>
      </c>
      <c r="S44" s="141">
        <f t="shared" si="6"/>
        <v>4.6655495281627637</v>
      </c>
      <c r="T44" s="141">
        <f t="shared" si="6"/>
        <v>4.3680216628921356</v>
      </c>
      <c r="U44" s="141">
        <f t="shared" si="6"/>
        <v>4.3430858993909602</v>
      </c>
      <c r="V44" s="141">
        <f t="shared" si="6"/>
        <v>4.1182231102164701</v>
      </c>
      <c r="W44" s="141">
        <f t="shared" si="6"/>
        <v>4.0945815437347477</v>
      </c>
      <c r="X44" s="141">
        <f t="shared" si="6"/>
        <v>3.9172564724949477</v>
      </c>
      <c r="Y44" s="141">
        <f t="shared" si="6"/>
        <v>3.8946781655095051</v>
      </c>
      <c r="Z44" s="141">
        <f t="shared" si="6"/>
        <v>3.750539364228759</v>
      </c>
      <c r="AA44" s="141">
        <f t="shared" si="6"/>
        <v>3.728856585258999</v>
      </c>
      <c r="AB44" s="141">
        <f t="shared" si="6"/>
        <v>3.6090083752538074</v>
      </c>
      <c r="AC44" s="141">
        <f t="shared" si="6"/>
        <v>3.588094612477311</v>
      </c>
      <c r="AD44" s="141">
        <f t="shared" si="6"/>
        <v>3.4866791798850412</v>
      </c>
      <c r="AE44" s="141">
        <f t="shared" si="6"/>
        <v>3.466436105391999</v>
      </c>
      <c r="AF44" s="141">
        <f t="shared" si="6"/>
        <v>3.3794118746690986</v>
      </c>
      <c r="AG44" s="141">
        <f t="shared" si="6"/>
        <v>3.3597611832793524</v>
      </c>
      <c r="AH44" s="141">
        <f t="shared" si="6"/>
        <v>3.2842342529553639</v>
      </c>
      <c r="AI44" s="154">
        <f t="shared" si="6"/>
        <v>3.26511231878357</v>
      </c>
    </row>
    <row r="45" spans="3:35" ht="18" customHeight="1" x14ac:dyDescent="0.3">
      <c r="C45" s="44"/>
      <c r="D45" s="44"/>
      <c r="E45" s="130"/>
      <c r="F45" s="6"/>
      <c r="G45" s="7"/>
      <c r="H45" s="7"/>
      <c r="P45" s="166"/>
      <c r="Q45" s="149">
        <v>140</v>
      </c>
      <c r="R45" s="155">
        <f t="shared" ref="R45:AI45" si="7">1.08*((((384*$H$13*100000)/(5*((((VLOOKUP(R$34,$I$8:$J$18,2))*$Q39)*R$33/2)+((($E$9*(1-0.088))+($E$19/$E$6))*((R$33/COS(R$34*PI()/180))/2))+$E$16)*$E$10))^(1/3))/100)</f>
        <v>4.2210656868433567</v>
      </c>
      <c r="S45" s="155">
        <f t="shared" si="7"/>
        <v>4.203613960890233</v>
      </c>
      <c r="T45" s="155">
        <f t="shared" si="7"/>
        <v>3.9265009720172133</v>
      </c>
      <c r="U45" s="155">
        <f t="shared" si="7"/>
        <v>3.9101681667291261</v>
      </c>
      <c r="V45" s="155">
        <f t="shared" si="7"/>
        <v>3.700038856704376</v>
      </c>
      <c r="W45" s="155">
        <f t="shared" si="7"/>
        <v>3.684585262242055</v>
      </c>
      <c r="X45" s="155">
        <f t="shared" si="7"/>
        <v>3.518169056985494</v>
      </c>
      <c r="Y45" s="155">
        <f t="shared" si="7"/>
        <v>3.5034321169011644</v>
      </c>
      <c r="Z45" s="155">
        <f t="shared" si="7"/>
        <v>3.3674906029712388</v>
      </c>
      <c r="AA45" s="155">
        <f t="shared" si="7"/>
        <v>3.3533538399081468</v>
      </c>
      <c r="AB45" s="155">
        <f t="shared" si="7"/>
        <v>3.2397029667240518</v>
      </c>
      <c r="AC45" s="155">
        <f t="shared" si="7"/>
        <v>3.2260793809556736</v>
      </c>
      <c r="AD45" s="155">
        <f t="shared" si="7"/>
        <v>3.1293397786392627</v>
      </c>
      <c r="AE45" s="155">
        <f t="shared" si="7"/>
        <v>3.1161622492628123</v>
      </c>
      <c r="AF45" s="155">
        <f t="shared" si="7"/>
        <v>3.0326271641573586</v>
      </c>
      <c r="AG45" s="155">
        <f t="shared" si="7"/>
        <v>3.0198425464020118</v>
      </c>
      <c r="AH45" s="155">
        <f t="shared" si="7"/>
        <v>2.946860158231821</v>
      </c>
      <c r="AI45" s="156">
        <f t="shared" si="7"/>
        <v>2.9344254704692294</v>
      </c>
    </row>
    <row r="46" spans="3:35" ht="18" hidden="1" customHeight="1" x14ac:dyDescent="0.3">
      <c r="C46" s="44">
        <v>3</v>
      </c>
      <c r="D46" s="136" t="s">
        <v>33</v>
      </c>
      <c r="E46" s="132">
        <f>(((384*$H$14*100000)/(5*$E27*E10))^(1/3))/100</f>
        <v>5.8744082204507411</v>
      </c>
      <c r="F46" s="6"/>
      <c r="G46" s="7"/>
      <c r="H46" s="7"/>
      <c r="P46" s="54" t="s">
        <v>41</v>
      </c>
    </row>
    <row r="47" spans="3:35" ht="18" hidden="1" customHeight="1" x14ac:dyDescent="0.3">
      <c r="C47" s="44"/>
      <c r="D47" s="137" t="s">
        <v>56</v>
      </c>
      <c r="E47" s="47"/>
      <c r="F47" s="6"/>
      <c r="G47" s="7"/>
      <c r="H47" s="7"/>
      <c r="P47" s="164" t="s">
        <v>39</v>
      </c>
      <c r="Q47" s="118">
        <v>45</v>
      </c>
      <c r="R47" s="58">
        <f t="shared" ref="R47:AI47" si="8">(((384*$H$14*100000)/(5*((((VLOOKUP(R$34,$I$8:$J$18,2))*$Q41)*R$33/2)+((($E$9*(1-0.088))+($E$18/$E$6))*((R$33/COS(R$34*PI()/180))/2))+$E$17)*$E$10))^(1/3))/100</f>
        <v>6.5839446949684008</v>
      </c>
      <c r="S47" s="68">
        <f t="shared" si="8"/>
        <v>6.5446335273841871</v>
      </c>
      <c r="T47" s="58">
        <f t="shared" si="8"/>
        <v>6.1934482628260135</v>
      </c>
      <c r="U47" s="60">
        <f t="shared" si="8"/>
        <v>6.1549888992782096</v>
      </c>
      <c r="V47" s="72">
        <f t="shared" si="8"/>
        <v>5.8816991042697797</v>
      </c>
      <c r="W47" s="68">
        <f t="shared" si="8"/>
        <v>5.8441745609948921</v>
      </c>
      <c r="X47" s="58">
        <f t="shared" si="8"/>
        <v>5.6245350479938825</v>
      </c>
      <c r="Y47" s="60">
        <f t="shared" si="8"/>
        <v>5.5879346430921721</v>
      </c>
      <c r="Z47" s="72">
        <f t="shared" si="8"/>
        <v>5.4071609944646868</v>
      </c>
      <c r="AA47" s="68">
        <f t="shared" si="8"/>
        <v>5.3714401400433482</v>
      </c>
      <c r="AB47" s="58">
        <f t="shared" si="8"/>
        <v>5.2199174743659418</v>
      </c>
      <c r="AC47" s="60">
        <f t="shared" si="8"/>
        <v>5.1850209296799399</v>
      </c>
      <c r="AD47" s="72">
        <f t="shared" si="8"/>
        <v>5.056180736396823</v>
      </c>
      <c r="AE47" s="68">
        <f t="shared" si="8"/>
        <v>5.0220520876134085</v>
      </c>
      <c r="AF47" s="58">
        <f t="shared" si="8"/>
        <v>4.9112288859103215</v>
      </c>
      <c r="AG47" s="60">
        <f t="shared" si="8"/>
        <v>4.877814386625956</v>
      </c>
      <c r="AH47" s="72">
        <f t="shared" si="8"/>
        <v>4.7815880626445129</v>
      </c>
      <c r="AI47" s="60">
        <f t="shared" si="8"/>
        <v>4.7488380424905809</v>
      </c>
    </row>
    <row r="48" spans="3:35" ht="18" hidden="1" customHeight="1" x14ac:dyDescent="0.3">
      <c r="C48" s="44"/>
      <c r="D48" s="45"/>
      <c r="E48" s="47"/>
      <c r="F48" s="6"/>
      <c r="G48" s="7"/>
      <c r="H48" s="7"/>
      <c r="P48" s="165"/>
      <c r="Q48" s="119">
        <v>55</v>
      </c>
      <c r="R48" s="61">
        <f t="shared" ref="R48:AI48" si="9">(((384*$H$14*100000)/(5*((((VLOOKUP(R$34,$I$8:$J$18,2))*$Q42)*R$33/2)+((($E$9*(1-0.088))+($E$18/$E$6))*((R$33/COS(R$34*PI()/180))/2))+$E$17)*$E$10))^(1/3))/100</f>
        <v>6.3551146201547191</v>
      </c>
      <c r="S48" s="69">
        <f t="shared" si="9"/>
        <v>6.3209493148633422</v>
      </c>
      <c r="T48" s="61">
        <f t="shared" si="9"/>
        <v>5.9700830182645106</v>
      </c>
      <c r="U48" s="63">
        <f t="shared" si="9"/>
        <v>5.9368358666091572</v>
      </c>
      <c r="V48" s="73">
        <f t="shared" si="9"/>
        <v>5.6641134848873227</v>
      </c>
      <c r="W48" s="69">
        <f t="shared" si="9"/>
        <v>5.6317971176122787</v>
      </c>
      <c r="X48" s="61">
        <f t="shared" si="9"/>
        <v>5.4125629397385477</v>
      </c>
      <c r="Y48" s="63">
        <f t="shared" si="9"/>
        <v>5.3811314918490121</v>
      </c>
      <c r="Z48" s="73">
        <f t="shared" si="9"/>
        <v>5.2004755225645631</v>
      </c>
      <c r="AA48" s="69">
        <f t="shared" si="9"/>
        <v>5.1698666127972608</v>
      </c>
      <c r="AB48" s="61">
        <f t="shared" si="9"/>
        <v>5.01815167923146</v>
      </c>
      <c r="AC48" s="63">
        <f t="shared" si="9"/>
        <v>4.9883013980405462</v>
      </c>
      <c r="AD48" s="73">
        <f t="shared" si="9"/>
        <v>4.858974587124413</v>
      </c>
      <c r="AE48" s="69">
        <f t="shared" si="9"/>
        <v>4.8298228428867596</v>
      </c>
      <c r="AF48" s="61">
        <f t="shared" si="9"/>
        <v>4.718246856221457</v>
      </c>
      <c r="AG48" s="63">
        <f t="shared" si="9"/>
        <v>4.6897390257324227</v>
      </c>
      <c r="AH48" s="73">
        <f t="shared" si="9"/>
        <v>4.5925244088129658</v>
      </c>
      <c r="AI48" s="63">
        <f t="shared" si="9"/>
        <v>4.5646115327040162</v>
      </c>
    </row>
    <row r="49" spans="3:35" ht="18" hidden="1" customHeight="1" x14ac:dyDescent="0.3">
      <c r="C49" s="44"/>
      <c r="D49" s="45"/>
      <c r="E49" s="47"/>
      <c r="F49" s="6"/>
      <c r="G49" s="7"/>
      <c r="H49" s="7"/>
      <c r="P49" s="165"/>
      <c r="Q49" s="119">
        <v>65</v>
      </c>
      <c r="R49" s="61">
        <f t="shared" ref="R49:AI49" si="10">(((384*$H$14*100000)/(5*((((VLOOKUP(R$34,$I$8:$J$18,2))*$Q43)*R$33/2)+((($E$9*(1-0.088))+($E$18/$E$6))*((R$33/COS(R$34*PI()/180))/2))+$E$17)*$E$10))^(1/3))/100</f>
        <v>6.1551076332371801</v>
      </c>
      <c r="S49" s="69">
        <f t="shared" si="10"/>
        <v>6.1250149953174642</v>
      </c>
      <c r="T49" s="61">
        <f t="shared" si="10"/>
        <v>5.7758096863408159</v>
      </c>
      <c r="U49" s="63">
        <f t="shared" si="10"/>
        <v>5.7466528698313191</v>
      </c>
      <c r="V49" s="73">
        <f t="shared" si="10"/>
        <v>5.4755247395207398</v>
      </c>
      <c r="W49" s="69">
        <f t="shared" si="10"/>
        <v>5.4472710628930994</v>
      </c>
      <c r="X49" s="61">
        <f t="shared" si="10"/>
        <v>5.2293158403201652</v>
      </c>
      <c r="Y49" s="63">
        <f t="shared" si="10"/>
        <v>5.2018984787290208</v>
      </c>
      <c r="Z49" s="73">
        <f t="shared" si="10"/>
        <v>5.0221573376238249</v>
      </c>
      <c r="AA49" s="69">
        <f t="shared" si="10"/>
        <v>4.9955045059495662</v>
      </c>
      <c r="AB49" s="61">
        <f t="shared" si="10"/>
        <v>4.8443565643260209</v>
      </c>
      <c r="AC49" s="63">
        <f t="shared" si="10"/>
        <v>4.81840075943449</v>
      </c>
      <c r="AD49" s="73">
        <f t="shared" si="10"/>
        <v>4.6893288538572397</v>
      </c>
      <c r="AE49" s="69">
        <f t="shared" si="10"/>
        <v>4.6640094134497039</v>
      </c>
      <c r="AF49" s="61">
        <f t="shared" si="10"/>
        <v>4.5524151614443671</v>
      </c>
      <c r="AG49" s="63">
        <f t="shared" si="10"/>
        <v>4.5276784821932035</v>
      </c>
      <c r="AH49" s="73">
        <f t="shared" si="10"/>
        <v>4.4302088014844063</v>
      </c>
      <c r="AI49" s="63">
        <f t="shared" si="10"/>
        <v>4.4060077664874164</v>
      </c>
    </row>
    <row r="50" spans="3:35" ht="18" hidden="1" customHeight="1" x14ac:dyDescent="0.3">
      <c r="C50" s="44"/>
      <c r="D50" s="45"/>
      <c r="E50" s="47"/>
      <c r="F50" s="6"/>
      <c r="G50" s="7"/>
      <c r="H50" s="7"/>
      <c r="P50" s="165"/>
      <c r="Q50" s="120">
        <v>90</v>
      </c>
      <c r="R50" s="64">
        <f t="shared" ref="R50:AI50" si="11">(((384*$H$14*100000)/(5*((((VLOOKUP(R$34,$I$8:$J$18,2))*$Q44)*R$33/2)+((($E$9*(1-0.088))+($E$18/$E$6))*((R$33/COS(R$34*PI()/180))/2))+$E$17)*$E$10))^(1/3))/100</f>
        <v>5.7467430939379813</v>
      </c>
      <c r="S50" s="70">
        <f t="shared" si="11"/>
        <v>5.7238347575616544</v>
      </c>
      <c r="T50" s="64">
        <f t="shared" si="11"/>
        <v>5.3816605685310028</v>
      </c>
      <c r="U50" s="66">
        <f t="shared" si="11"/>
        <v>5.3596419603811762</v>
      </c>
      <c r="V50" s="74">
        <f t="shared" si="11"/>
        <v>5.0946102655401884</v>
      </c>
      <c r="W50" s="70">
        <f t="shared" si="11"/>
        <v>5.0733931748874008</v>
      </c>
      <c r="X50" s="64">
        <f t="shared" si="11"/>
        <v>4.8604109188478155</v>
      </c>
      <c r="Y50" s="66">
        <f t="shared" si="11"/>
        <v>4.8399071536914242</v>
      </c>
      <c r="Z50" s="74">
        <f t="shared" si="11"/>
        <v>4.6640877079662904</v>
      </c>
      <c r="AA50" s="70">
        <f t="shared" si="11"/>
        <v>4.6442192426361313</v>
      </c>
      <c r="AB50" s="64">
        <f t="shared" si="11"/>
        <v>4.4960743275736244</v>
      </c>
      <c r="AC50" s="66">
        <f t="shared" si="11"/>
        <v>4.4767744148105457</v>
      </c>
      <c r="AD50" s="74">
        <f t="shared" si="11"/>
        <v>4.349920612592225</v>
      </c>
      <c r="AE50" s="70">
        <f t="shared" si="11"/>
        <v>4.3311325915580987</v>
      </c>
      <c r="AF50" s="64">
        <f t="shared" si="11"/>
        <v>4.2210899177808923</v>
      </c>
      <c r="AG50" s="66">
        <f t="shared" si="11"/>
        <v>4.2027656081629745</v>
      </c>
      <c r="AH50" s="74">
        <f t="shared" si="11"/>
        <v>4.1062812107948261</v>
      </c>
      <c r="AI50" s="66">
        <f t="shared" si="11"/>
        <v>4.0883794241981102</v>
      </c>
    </row>
    <row r="51" spans="3:35" ht="18" hidden="1" customHeight="1" x14ac:dyDescent="0.25">
      <c r="C51" s="44"/>
      <c r="D51" s="44"/>
      <c r="E51" s="130"/>
      <c r="F51" s="8"/>
      <c r="G51" s="7"/>
      <c r="H51" s="7"/>
      <c r="P51" s="166"/>
      <c r="Q51" s="117">
        <v>140</v>
      </c>
      <c r="R51" s="64">
        <f t="shared" ref="R51:AI51" si="12">(((384*$H$14*100000)/(5*((((VLOOKUP(R$34,$I$8:$J$18,2))*$Q45)*R$33/2)+((($E$9*(1-0.088))+($E$18/$E$6))*((R$33/COS(R$34*PI()/180))/2))+$E$17)*$E$10))^(1/3))/100</f>
        <v>5.1714338436404388</v>
      </c>
      <c r="S51" s="64">
        <f t="shared" si="12"/>
        <v>5.1563785778251949</v>
      </c>
      <c r="T51" s="64">
        <f t="shared" si="12"/>
        <v>4.8313151406774519</v>
      </c>
      <c r="U51" s="64">
        <f t="shared" si="12"/>
        <v>4.816981138006966</v>
      </c>
      <c r="V51" s="64">
        <f t="shared" si="12"/>
        <v>4.5660401987166575</v>
      </c>
      <c r="W51" s="64">
        <f t="shared" si="12"/>
        <v>4.5523183451810425</v>
      </c>
      <c r="X51" s="64">
        <f t="shared" si="12"/>
        <v>4.3508430332501042</v>
      </c>
      <c r="Y51" s="64">
        <f t="shared" si="12"/>
        <v>4.3376461943501718</v>
      </c>
      <c r="Z51" s="64">
        <f t="shared" si="12"/>
        <v>4.1712195086298616</v>
      </c>
      <c r="AA51" s="64">
        <f t="shared" si="12"/>
        <v>4.1584785594024973</v>
      </c>
      <c r="AB51" s="64">
        <f t="shared" si="12"/>
        <v>4.0180076163637297</v>
      </c>
      <c r="AC51" s="64">
        <f t="shared" si="12"/>
        <v>4.0056671803421526</v>
      </c>
      <c r="AD51" s="64">
        <f t="shared" si="12"/>
        <v>3.8850828690953603</v>
      </c>
      <c r="AE51" s="64">
        <f t="shared" si="12"/>
        <v>3.8730979726208079</v>
      </c>
      <c r="AF51" s="64">
        <f t="shared" si="12"/>
        <v>3.7681670429968155</v>
      </c>
      <c r="AG51" s="64">
        <f t="shared" si="12"/>
        <v>3.7565006486394048</v>
      </c>
      <c r="AH51" s="64">
        <f t="shared" si="12"/>
        <v>3.6641643978489213</v>
      </c>
      <c r="AI51" s="64">
        <f t="shared" si="12"/>
        <v>3.652785603681151</v>
      </c>
    </row>
    <row r="52" spans="3:35" ht="18" customHeight="1" x14ac:dyDescent="0.3">
      <c r="C52" s="157">
        <v>4</v>
      </c>
      <c r="D52" s="163" t="s">
        <v>58</v>
      </c>
      <c r="E52" s="135">
        <f>1.08*((((384*$H$14*100000)/(5*$E29*E10))^(1/3))/100)</f>
        <v>6.0794527884443017</v>
      </c>
      <c r="P52" s="54" t="s">
        <v>43</v>
      </c>
    </row>
    <row r="53" spans="3:35" ht="18" customHeight="1" x14ac:dyDescent="0.25">
      <c r="P53" s="164" t="s">
        <v>39</v>
      </c>
      <c r="Q53" s="138">
        <v>45</v>
      </c>
      <c r="R53" s="152">
        <f t="shared" ref="R53:AI53" si="13">1.08*((((384*$H$14*100000)/(5*((((VLOOKUP(R$34,$I$8:$J$18,2))*$Q47)*R$33/2)+((($E$9*(1-0.088))+($E$19/$E$6))*((R$33/COS(R$34*PI()/180))/2))+$E$17)*$E$10))^(1/3))/100)</f>
        <v>6.8335493856566192</v>
      </c>
      <c r="S53" s="152">
        <f t="shared" si="13"/>
        <v>6.7822799698230227</v>
      </c>
      <c r="T53" s="152">
        <f t="shared" si="13"/>
        <v>6.4185186626022919</v>
      </c>
      <c r="U53" s="152">
        <f t="shared" si="13"/>
        <v>6.3686657859623308</v>
      </c>
      <c r="V53" s="152">
        <f t="shared" si="13"/>
        <v>6.0888867767708961</v>
      </c>
      <c r="W53" s="152">
        <f t="shared" si="13"/>
        <v>6.0404561846586065</v>
      </c>
      <c r="X53" s="152">
        <f t="shared" si="13"/>
        <v>5.8179875982547742</v>
      </c>
      <c r="Y53" s="152">
        <f t="shared" si="13"/>
        <v>5.7709024420986772</v>
      </c>
      <c r="Z53" s="152">
        <f t="shared" si="13"/>
        <v>5.5896541500773589</v>
      </c>
      <c r="AA53" s="152">
        <f t="shared" si="13"/>
        <v>5.5438156816865751</v>
      </c>
      <c r="AB53" s="152">
        <f t="shared" si="13"/>
        <v>5.3934094797754062</v>
      </c>
      <c r="AC53" s="152">
        <f t="shared" si="13"/>
        <v>5.3487183614135745</v>
      </c>
      <c r="AD53" s="152">
        <f t="shared" si="13"/>
        <v>5.222110710624448</v>
      </c>
      <c r="AE53" s="152">
        <f t="shared" si="13"/>
        <v>5.1784743915332596</v>
      </c>
      <c r="AF53" s="152">
        <f t="shared" si="13"/>
        <v>5.0706894215459846</v>
      </c>
      <c r="AG53" s="152">
        <f t="shared" si="13"/>
        <v>5.0280242414102103</v>
      </c>
      <c r="AH53" s="152">
        <f t="shared" si="13"/>
        <v>4.9354309525665672</v>
      </c>
      <c r="AI53" s="153">
        <f t="shared" si="13"/>
        <v>4.8936622088360977</v>
      </c>
    </row>
    <row r="54" spans="3:35" ht="18" customHeight="1" x14ac:dyDescent="0.25">
      <c r="P54" s="165"/>
      <c r="Q54" s="139">
        <v>55</v>
      </c>
      <c r="R54" s="141">
        <f t="shared" ref="R54:AI54" si="14">1.08*((((384*$H$14*100000)/(5*((((VLOOKUP(R$34,$I$8:$J$18,2))*$Q48)*R$33/2)+((($E$9*(1-0.088))+($E$19/$E$6))*((R$33/COS(R$34*PI()/180))/2))+$E$17)*$E$10))^(1/3))/100)</f>
        <v>6.6211197782135063</v>
      </c>
      <c r="S54" s="141">
        <f t="shared" si="14"/>
        <v>6.5758732329436542</v>
      </c>
      <c r="T54" s="141">
        <f t="shared" si="14"/>
        <v>6.212297339671256</v>
      </c>
      <c r="U54" s="141">
        <f t="shared" si="14"/>
        <v>6.1684859660079221</v>
      </c>
      <c r="V54" s="141">
        <f t="shared" si="14"/>
        <v>5.8887808093969003</v>
      </c>
      <c r="W54" s="141">
        <f t="shared" si="14"/>
        <v>5.8463456420293172</v>
      </c>
      <c r="X54" s="141">
        <f t="shared" si="14"/>
        <v>5.6236081139055871</v>
      </c>
      <c r="Y54" s="141">
        <f t="shared" si="14"/>
        <v>5.5824428053898281</v>
      </c>
      <c r="Z54" s="141">
        <f t="shared" si="14"/>
        <v>5.4005470814880532</v>
      </c>
      <c r="AA54" s="141">
        <f t="shared" si="14"/>
        <v>5.360539982361054</v>
      </c>
      <c r="AB54" s="141">
        <f t="shared" si="14"/>
        <v>5.2091333192623726</v>
      </c>
      <c r="AC54" s="141">
        <f t="shared" si="14"/>
        <v>5.1701804734606958</v>
      </c>
      <c r="AD54" s="141">
        <f t="shared" si="14"/>
        <v>5.0422613458726371</v>
      </c>
      <c r="AE54" s="141">
        <f t="shared" si="14"/>
        <v>5.0042698537099328</v>
      </c>
      <c r="AF54" s="141">
        <f t="shared" si="14"/>
        <v>4.8949055579115974</v>
      </c>
      <c r="AG54" s="141">
        <f t="shared" si="14"/>
        <v>4.8577936277403495</v>
      </c>
      <c r="AH54" s="141">
        <f t="shared" si="14"/>
        <v>4.7633924066858686</v>
      </c>
      <c r="AI54" s="154">
        <f t="shared" si="14"/>
        <v>4.7270883284816376</v>
      </c>
    </row>
    <row r="55" spans="3:35" ht="18" customHeight="1" x14ac:dyDescent="0.25">
      <c r="P55" s="165"/>
      <c r="Q55" s="139">
        <v>65</v>
      </c>
      <c r="R55" s="141">
        <f t="shared" ref="R55:AI55" si="15">1.08*((((384*$H$14*100000)/(5*((((VLOOKUP(R$34,$I$8:$J$18,2))*$Q49)*R$33/2)+((($E$9*(1-0.088))+($E$19/$E$6))*((R$33/COS(R$34*PI()/180))/2))+$E$17)*$E$10))^(1/3))/100)</f>
        <v>6.4328612506872558</v>
      </c>
      <c r="S55" s="141">
        <f t="shared" si="15"/>
        <v>6.3924998192337235</v>
      </c>
      <c r="T55" s="141">
        <f t="shared" si="15"/>
        <v>6.0302592563956043</v>
      </c>
      <c r="U55" s="141">
        <f t="shared" si="15"/>
        <v>5.9913150643122757</v>
      </c>
      <c r="V55" s="141">
        <f t="shared" si="15"/>
        <v>5.7126300298080261</v>
      </c>
      <c r="W55" s="141">
        <f t="shared" si="15"/>
        <v>5.6750019854598266</v>
      </c>
      <c r="X55" s="141">
        <f t="shared" si="15"/>
        <v>5.4528499595996456</v>
      </c>
      <c r="Y55" s="141">
        <f t="shared" si="15"/>
        <v>5.4164144464160016</v>
      </c>
      <c r="Z55" s="141">
        <f t="shared" si="15"/>
        <v>5.234684104690956</v>
      </c>
      <c r="AA55" s="141">
        <f t="shared" si="15"/>
        <v>5.199323437597883</v>
      </c>
      <c r="AB55" s="141">
        <f t="shared" si="15"/>
        <v>5.0477112618376019</v>
      </c>
      <c r="AC55" s="141">
        <f t="shared" si="15"/>
        <v>5.0133207825974342</v>
      </c>
      <c r="AD55" s="141">
        <f t="shared" si="15"/>
        <v>4.8848787934507847</v>
      </c>
      <c r="AE55" s="141">
        <f t="shared" si="15"/>
        <v>4.8513674719069488</v>
      </c>
      <c r="AF55" s="141">
        <f t="shared" si="15"/>
        <v>4.7412116901087469</v>
      </c>
      <c r="AG55" s="141">
        <f t="shared" si="15"/>
        <v>4.708500810307517</v>
      </c>
      <c r="AH55" s="141">
        <f t="shared" si="15"/>
        <v>4.6130812543819886</v>
      </c>
      <c r="AI55" s="154">
        <f t="shared" si="15"/>
        <v>4.581102688030307</v>
      </c>
    </row>
    <row r="56" spans="3:35" ht="18" customHeight="1" x14ac:dyDescent="0.25">
      <c r="P56" s="165"/>
      <c r="Q56" s="140">
        <v>90</v>
      </c>
      <c r="R56" s="141">
        <f t="shared" ref="R56:AI56" si="16">1.08*((((384*$H$14*100000)/(5*((((VLOOKUP(R$34,$I$8:$J$18,2))*$Q50)*R$33/2)+((($E$9*(1-0.088))+($E$19/$E$6))*((R$33/COS(R$34*PI()/180))/2))+$E$17)*$E$10))^(1/3))/100)</f>
        <v>6.0414253318663373</v>
      </c>
      <c r="S56" s="141">
        <f t="shared" si="16"/>
        <v>6.0099594119611508</v>
      </c>
      <c r="T56" s="141">
        <f t="shared" si="16"/>
        <v>5.6537333120179909</v>
      </c>
      <c r="U56" s="141">
        <f t="shared" si="16"/>
        <v>5.6235738361034278</v>
      </c>
      <c r="V56" s="141">
        <f t="shared" si="16"/>
        <v>5.349612092267221</v>
      </c>
      <c r="W56" s="141">
        <f t="shared" si="16"/>
        <v>5.3206068577284853</v>
      </c>
      <c r="X56" s="141">
        <f t="shared" si="16"/>
        <v>5.1018948686673902</v>
      </c>
      <c r="Y56" s="141">
        <f t="shared" si="16"/>
        <v>5.0739048114346286</v>
      </c>
      <c r="Z56" s="141">
        <f t="shared" si="16"/>
        <v>4.894497207132277</v>
      </c>
      <c r="AA56" s="141">
        <f t="shared" si="16"/>
        <v>4.8674040891351646</v>
      </c>
      <c r="AB56" s="141">
        <f t="shared" si="16"/>
        <v>4.7171773229455685</v>
      </c>
      <c r="AC56" s="141">
        <f t="shared" si="16"/>
        <v>4.6908822763640803</v>
      </c>
      <c r="AD56" s="141">
        <f t="shared" si="16"/>
        <v>4.563046859577244</v>
      </c>
      <c r="AE56" s="141">
        <f t="shared" si="16"/>
        <v>4.5374671996506724</v>
      </c>
      <c r="AF56" s="141">
        <f t="shared" si="16"/>
        <v>4.4272705903831566</v>
      </c>
      <c r="AG56" s="141">
        <f t="shared" si="16"/>
        <v>4.4023367481636519</v>
      </c>
      <c r="AH56" s="141">
        <f t="shared" si="16"/>
        <v>4.3063359078974282</v>
      </c>
      <c r="AI56" s="154">
        <f t="shared" si="16"/>
        <v>4.2819888798833556</v>
      </c>
    </row>
    <row r="57" spans="3:35" ht="18" customHeight="1" x14ac:dyDescent="0.25">
      <c r="P57" s="166"/>
      <c r="Q57" s="149">
        <v>140</v>
      </c>
      <c r="R57" s="155">
        <f t="shared" ref="R57:AI57" si="17">1.08*((((384*$H$14*100000)/(5*((((VLOOKUP(R$34,$I$8:$J$18,2))*$Q51)*R$33/2)+((($E$9*(1-0.088))+($E$19/$E$6))*((R$33/COS(R$34*PI()/180))/2))+$E$17)*$E$10))^(1/3))/100)</f>
        <v>5.4753477346553812</v>
      </c>
      <c r="S57" s="155">
        <f t="shared" si="17"/>
        <v>5.4540622338838736</v>
      </c>
      <c r="T57" s="155">
        <f t="shared" si="17"/>
        <v>5.1133461193455627</v>
      </c>
      <c r="U57" s="155">
        <f t="shared" si="17"/>
        <v>5.0931109487327326</v>
      </c>
      <c r="V57" s="155">
        <f t="shared" si="17"/>
        <v>4.8313544749700403</v>
      </c>
      <c r="W57" s="155">
        <f t="shared" si="17"/>
        <v>4.8120035782993309</v>
      </c>
      <c r="X57" s="155">
        <f t="shared" si="17"/>
        <v>4.6027970656745012</v>
      </c>
      <c r="Y57" s="155">
        <f t="shared" si="17"/>
        <v>4.5842006584658197</v>
      </c>
      <c r="Z57" s="155">
        <f t="shared" si="17"/>
        <v>4.412146435649098</v>
      </c>
      <c r="AA57" s="155">
        <f t="shared" si="17"/>
        <v>4.3942028140966194</v>
      </c>
      <c r="AB57" s="155">
        <f t="shared" si="17"/>
        <v>4.2496110038817765</v>
      </c>
      <c r="AC57" s="155">
        <f t="shared" si="17"/>
        <v>4.2322393421968316</v>
      </c>
      <c r="AD57" s="155">
        <f t="shared" si="17"/>
        <v>4.1086540279821211</v>
      </c>
      <c r="AE57" s="155">
        <f t="shared" si="17"/>
        <v>4.0917890547792402</v>
      </c>
      <c r="AF57" s="155">
        <f t="shared" si="17"/>
        <v>3.9847140437709379</v>
      </c>
      <c r="AG57" s="155">
        <f t="shared" si="17"/>
        <v>3.9683022326772828</v>
      </c>
      <c r="AH57" s="155">
        <f t="shared" si="17"/>
        <v>3.8744931344763018</v>
      </c>
      <c r="AI57" s="156">
        <f t="shared" si="17"/>
        <v>3.8584899726864812</v>
      </c>
    </row>
    <row r="58" spans="3:35" ht="18" customHeight="1" x14ac:dyDescent="0.25"/>
    <row r="59" spans="3:35" ht="18" customHeight="1" x14ac:dyDescent="0.25"/>
    <row r="60" spans="3:35" ht="18" customHeight="1" x14ac:dyDescent="0.25"/>
    <row r="61" spans="3:35" ht="18" customHeight="1" x14ac:dyDescent="0.25"/>
    <row r="62" spans="3:35" ht="18" customHeight="1" x14ac:dyDescent="0.25"/>
    <row r="63" spans="3:35" ht="18" customHeight="1" x14ac:dyDescent="0.25"/>
    <row r="64" spans="3:35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20.100000000000001" customHeight="1" x14ac:dyDescent="0.25"/>
    <row r="70" ht="20.100000000000001" customHeight="1" x14ac:dyDescent="0.25"/>
    <row r="71" ht="20.100000000000001" customHeight="1" x14ac:dyDescent="0.25"/>
    <row r="72" ht="20.100000000000001" customHeight="1" x14ac:dyDescent="0.25"/>
    <row r="73" ht="20.100000000000001" customHeight="1" x14ac:dyDescent="0.25"/>
    <row r="74" ht="20.100000000000001" customHeight="1" x14ac:dyDescent="0.25"/>
  </sheetData>
  <sheetProtection algorithmName="SHA-512" hashValue="AzCROJ8B3Vri2XxirgiZgr2RWGYdYKXc4dyPcMMnojLXnyy/v6TUJ7TiveAOD+/+3kNnW2XwZFiCea+PBhvZ+w==" saltValue="nRa2QAdk2pqJBie5V/Rq6A==" spinCount="100000" sheet="1" objects="1" scenarios="1"/>
  <mergeCells count="15">
    <mergeCell ref="P53:P57"/>
    <mergeCell ref="I4:K4"/>
    <mergeCell ref="C22:C23"/>
    <mergeCell ref="B2:E2"/>
    <mergeCell ref="I22:K22"/>
    <mergeCell ref="I6:J6"/>
    <mergeCell ref="I23:K23"/>
    <mergeCell ref="P35:P39"/>
    <mergeCell ref="P41:P45"/>
    <mergeCell ref="P47:P51"/>
    <mergeCell ref="C24:C25"/>
    <mergeCell ref="D32:E32"/>
    <mergeCell ref="C26:C27"/>
    <mergeCell ref="C28:C29"/>
    <mergeCell ref="C31:D31"/>
  </mergeCells>
  <phoneticPr fontId="2" type="noConversion"/>
  <conditionalFormatting sqref="E33:E51">
    <cfRule type="cellIs" dxfId="3" priority="1" stopIfTrue="1" operator="greaterThan">
      <formula>$E$31</formula>
    </cfRule>
  </conditionalFormatting>
  <pageMargins left="0.39370078740157483" right="0" top="0.39370078740157483" bottom="0" header="0" footer="0"/>
  <pageSetup paperSize="8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I83"/>
  <sheetViews>
    <sheetView workbookViewId="0">
      <selection activeCell="D58" sqref="D58"/>
    </sheetView>
  </sheetViews>
  <sheetFormatPr baseColWidth="10" defaultRowHeight="13.2" x14ac:dyDescent="0.25"/>
  <cols>
    <col min="1" max="1" width="1.6640625" customWidth="1"/>
    <col min="2" max="2" width="35.77734375" customWidth="1"/>
    <col min="3" max="3" width="2.21875" hidden="1" customWidth="1"/>
    <col min="4" max="4" width="54.77734375" customWidth="1"/>
    <col min="5" max="5" width="13.6640625" customWidth="1"/>
    <col min="6" max="6" width="1.77734375" customWidth="1"/>
    <col min="7" max="7" width="28.21875" hidden="1" customWidth="1"/>
    <col min="8" max="8" width="7" hidden="1" customWidth="1"/>
    <col min="9" max="9" width="14.77734375" hidden="1" customWidth="1"/>
    <col min="10" max="10" width="13.6640625" hidden="1" customWidth="1"/>
    <col min="11" max="11" width="7.77734375" hidden="1" customWidth="1"/>
    <col min="12" max="14" width="8.6640625" customWidth="1"/>
    <col min="15" max="15" width="5.77734375" customWidth="1"/>
    <col min="16" max="17" width="5.77734375" hidden="1" customWidth="1"/>
    <col min="18" max="35" width="6.77734375" hidden="1" customWidth="1"/>
  </cols>
  <sheetData>
    <row r="1" spans="2:15" ht="12.9" customHeight="1" x14ac:dyDescent="0.25">
      <c r="B1" s="191" t="s">
        <v>68</v>
      </c>
    </row>
    <row r="2" spans="2:15" ht="17.399999999999999" x14ac:dyDescent="0.25">
      <c r="B2" s="172" t="s">
        <v>54</v>
      </c>
      <c r="C2" s="173"/>
      <c r="D2" s="173"/>
      <c r="E2" s="173"/>
    </row>
    <row r="3" spans="2:15" ht="5.0999999999999996" customHeight="1" x14ac:dyDescent="0.25"/>
    <row r="4" spans="2:15" ht="18" customHeight="1" x14ac:dyDescent="0.25">
      <c r="B4" s="36" t="s">
        <v>28</v>
      </c>
      <c r="D4" s="77" t="s">
        <v>11</v>
      </c>
      <c r="E4" s="78">
        <v>3</v>
      </c>
      <c r="G4" s="37" t="s">
        <v>32</v>
      </c>
      <c r="H4" s="38">
        <f>$E$4/COS($E$7*PI()/180)</f>
        <v>3.0462798356572351</v>
      </c>
      <c r="I4" s="167" t="s">
        <v>36</v>
      </c>
      <c r="J4" s="168"/>
      <c r="K4" s="169"/>
    </row>
    <row r="5" spans="2:15" ht="18" hidden="1" customHeight="1" x14ac:dyDescent="0.25">
      <c r="D5" s="77" t="s">
        <v>9</v>
      </c>
      <c r="E5" s="78">
        <v>0</v>
      </c>
    </row>
    <row r="6" spans="2:15" ht="18" customHeight="1" thickBot="1" x14ac:dyDescent="0.3">
      <c r="B6" s="15" t="s">
        <v>19</v>
      </c>
      <c r="D6" s="77" t="s">
        <v>10</v>
      </c>
      <c r="E6" s="78">
        <v>0.7</v>
      </c>
      <c r="L6" s="158"/>
      <c r="M6" s="159"/>
      <c r="N6" s="159"/>
    </row>
    <row r="7" spans="2:15" ht="18" customHeight="1" x14ac:dyDescent="0.25">
      <c r="B7" s="15" t="s">
        <v>18</v>
      </c>
      <c r="D7" s="77" t="s">
        <v>12</v>
      </c>
      <c r="E7" s="79">
        <v>10</v>
      </c>
      <c r="I7" s="16" t="s">
        <v>2</v>
      </c>
      <c r="J7" s="17" t="s">
        <v>23</v>
      </c>
      <c r="L7" s="158"/>
      <c r="M7" s="159"/>
      <c r="N7" s="159"/>
    </row>
    <row r="8" spans="2:15" ht="18" customHeight="1" x14ac:dyDescent="0.25">
      <c r="B8" s="15" t="s">
        <v>59</v>
      </c>
      <c r="D8" s="77" t="s">
        <v>0</v>
      </c>
      <c r="E8" s="79">
        <v>45</v>
      </c>
      <c r="I8" s="18">
        <v>5</v>
      </c>
      <c r="J8" s="19">
        <v>0.8</v>
      </c>
      <c r="L8" s="160"/>
      <c r="M8" s="159"/>
      <c r="N8" s="159"/>
      <c r="O8" s="14"/>
    </row>
    <row r="9" spans="2:15" ht="18" customHeight="1" x14ac:dyDescent="0.25">
      <c r="B9" s="162" t="s">
        <v>53</v>
      </c>
      <c r="D9" s="77" t="s">
        <v>1</v>
      </c>
      <c r="E9" s="79">
        <v>20</v>
      </c>
      <c r="I9" s="18">
        <v>10</v>
      </c>
      <c r="J9" s="19">
        <v>0.8</v>
      </c>
      <c r="O9" s="14"/>
    </row>
    <row r="10" spans="2:15" ht="18" hidden="1" customHeight="1" x14ac:dyDescent="0.25">
      <c r="D10" s="77" t="s">
        <v>17</v>
      </c>
      <c r="E10" s="83">
        <v>200</v>
      </c>
      <c r="I10" s="18">
        <v>15</v>
      </c>
      <c r="J10" s="19">
        <v>0.8</v>
      </c>
      <c r="O10" s="14"/>
    </row>
    <row r="11" spans="2:15" ht="18" hidden="1" customHeight="1" x14ac:dyDescent="0.25">
      <c r="D11" s="82"/>
      <c r="E11" s="76"/>
      <c r="I11" s="18">
        <v>20</v>
      </c>
      <c r="J11" s="19">
        <v>0.8</v>
      </c>
      <c r="O11" s="14"/>
    </row>
    <row r="12" spans="2:15" ht="18" hidden="1" customHeight="1" x14ac:dyDescent="0.25">
      <c r="D12" s="12"/>
      <c r="E12" s="76"/>
      <c r="I12" s="18">
        <v>25</v>
      </c>
      <c r="J12" s="19">
        <v>0.8</v>
      </c>
      <c r="O12" s="14"/>
    </row>
    <row r="13" spans="2:15" ht="18" hidden="1" customHeight="1" x14ac:dyDescent="0.25">
      <c r="D13" s="11" t="s">
        <v>13</v>
      </c>
      <c r="E13" s="100">
        <v>326.69</v>
      </c>
      <c r="G13" s="41" t="s">
        <v>34</v>
      </c>
      <c r="H13">
        <f>70000000000*(E13/100000000)</f>
        <v>228683</v>
      </c>
      <c r="I13" s="18">
        <v>30</v>
      </c>
      <c r="J13" s="19">
        <f t="shared" ref="J13:J18" si="0">0.8*(60-$I13)/30</f>
        <v>0.8</v>
      </c>
    </row>
    <row r="14" spans="2:15" ht="18" hidden="1" customHeight="1" x14ac:dyDescent="0.25">
      <c r="D14" s="11" t="s">
        <v>20</v>
      </c>
      <c r="E14" s="101">
        <v>144</v>
      </c>
      <c r="G14" s="41" t="s">
        <v>35</v>
      </c>
      <c r="H14">
        <f>(210000000000*(E14/100000000))+H13</f>
        <v>531083</v>
      </c>
      <c r="I14" s="18">
        <v>31</v>
      </c>
      <c r="J14" s="19">
        <f t="shared" si="0"/>
        <v>0.77333333333333343</v>
      </c>
    </row>
    <row r="15" spans="2:15" ht="18" hidden="1" customHeight="1" x14ac:dyDescent="0.25">
      <c r="D15" s="11" t="s">
        <v>16</v>
      </c>
      <c r="E15" s="101">
        <f>ROUND(E5/E6,0)</f>
        <v>0</v>
      </c>
      <c r="I15" s="18">
        <v>32</v>
      </c>
      <c r="J15" s="19">
        <f t="shared" si="0"/>
        <v>0.7466666666666667</v>
      </c>
    </row>
    <row r="16" spans="2:15" ht="18" hidden="1" customHeight="1" x14ac:dyDescent="0.25">
      <c r="D16" s="1" t="s">
        <v>14</v>
      </c>
      <c r="E16" s="102">
        <v>4.492</v>
      </c>
      <c r="I16" s="18">
        <v>33</v>
      </c>
      <c r="J16" s="19">
        <f t="shared" si="0"/>
        <v>0.72000000000000008</v>
      </c>
    </row>
    <row r="17" spans="3:16" ht="18" hidden="1" customHeight="1" x14ac:dyDescent="0.25">
      <c r="D17" s="1" t="s">
        <v>15</v>
      </c>
      <c r="E17" s="102">
        <v>13.912000000000001</v>
      </c>
      <c r="I17" s="18">
        <v>34</v>
      </c>
      <c r="J17" s="19">
        <f t="shared" si="0"/>
        <v>0.69333333333333336</v>
      </c>
    </row>
    <row r="18" spans="3:16" ht="18" hidden="1" customHeight="1" thickBot="1" x14ac:dyDescent="0.3">
      <c r="D18" s="1" t="s">
        <v>3</v>
      </c>
      <c r="E18" s="102">
        <v>2.2549999999999999</v>
      </c>
      <c r="I18" s="29">
        <v>35</v>
      </c>
      <c r="J18" s="30">
        <f t="shared" si="0"/>
        <v>0.66666666666666663</v>
      </c>
    </row>
    <row r="19" spans="3:16" ht="18" hidden="1" customHeight="1" x14ac:dyDescent="0.25">
      <c r="D19" s="1" t="s">
        <v>44</v>
      </c>
      <c r="E19" s="102">
        <v>17.954999999999998</v>
      </c>
      <c r="I19" s="31" t="s">
        <v>21</v>
      </c>
      <c r="J19" s="32">
        <f>VLOOKUP(E7,I8:J18,2)</f>
        <v>0.8</v>
      </c>
    </row>
    <row r="20" spans="3:16" ht="18" hidden="1" customHeight="1" x14ac:dyDescent="0.25">
      <c r="D20" s="39"/>
      <c r="E20" s="40"/>
      <c r="F20" s="4"/>
      <c r="G20" s="4"/>
      <c r="H20" s="4"/>
      <c r="I20" s="33" t="s">
        <v>24</v>
      </c>
      <c r="J20" s="26">
        <f>J19*1*1*E8+0</f>
        <v>36</v>
      </c>
    </row>
    <row r="21" spans="3:16" ht="18" hidden="1" customHeight="1" thickBot="1" x14ac:dyDescent="0.3">
      <c r="D21" s="12"/>
      <c r="E21" s="5"/>
      <c r="F21" s="4"/>
      <c r="G21" s="4"/>
      <c r="H21" s="4"/>
      <c r="I21" s="27" t="s">
        <v>22</v>
      </c>
      <c r="J21" s="28">
        <f>E5-(0.041*2)-(0.022*E15)</f>
        <v>-8.2000000000000003E-2</v>
      </c>
    </row>
    <row r="22" spans="3:16" s="3" customFormat="1" ht="18" hidden="1" customHeight="1" x14ac:dyDescent="0.25">
      <c r="C22" s="170">
        <v>1</v>
      </c>
      <c r="D22" s="2"/>
      <c r="E22" s="103"/>
      <c r="F22" s="5"/>
      <c r="G22" s="5"/>
      <c r="H22" s="5"/>
      <c r="I22" s="174" t="s">
        <v>25</v>
      </c>
      <c r="J22" s="174"/>
      <c r="K22" s="174"/>
    </row>
    <row r="23" spans="3:16" ht="18" hidden="1" customHeight="1" x14ac:dyDescent="0.25">
      <c r="C23" s="171"/>
      <c r="D23" s="1" t="s">
        <v>5</v>
      </c>
      <c r="E23" s="104">
        <f>($J$20*E4/2)+(((E9*(1-0.088))+(E18/E6))*(H4/2))+E16</f>
        <v>91.180758550770477</v>
      </c>
      <c r="F23" s="4"/>
      <c r="G23" s="4"/>
      <c r="H23" s="4"/>
      <c r="I23" s="176" t="s">
        <v>26</v>
      </c>
      <c r="J23" s="177"/>
      <c r="K23" s="177"/>
    </row>
    <row r="24" spans="3:16" ht="18" hidden="1" customHeight="1" x14ac:dyDescent="0.25">
      <c r="C24" s="178">
        <v>2</v>
      </c>
      <c r="D24" s="105"/>
      <c r="E24" s="104"/>
      <c r="F24" s="4"/>
      <c r="G24" s="4"/>
      <c r="H24" s="4"/>
    </row>
    <row r="25" spans="3:16" ht="18" hidden="1" customHeight="1" x14ac:dyDescent="0.25">
      <c r="C25" s="171"/>
      <c r="D25" s="105" t="s">
        <v>51</v>
      </c>
      <c r="E25" s="104">
        <f>($J$20*E4/2)+(((E9*(1-0.088))+(E19/E6))*(H4/2))+E16</f>
        <v>125.34261099349803</v>
      </c>
      <c r="F25" s="4"/>
      <c r="G25" s="4"/>
      <c r="H25" s="4"/>
    </row>
    <row r="26" spans="3:16" ht="18" hidden="1" customHeight="1" x14ac:dyDescent="0.25">
      <c r="C26" s="178">
        <v>3</v>
      </c>
      <c r="D26" s="1"/>
      <c r="E26" s="104"/>
      <c r="F26" s="4"/>
      <c r="G26" s="4"/>
      <c r="H26" s="4"/>
    </row>
    <row r="27" spans="3:16" ht="18" hidden="1" customHeight="1" x14ac:dyDescent="0.25">
      <c r="C27" s="171"/>
      <c r="D27" s="1" t="s">
        <v>6</v>
      </c>
      <c r="E27" s="104">
        <f>($J$20*E4/2)+(((E9*(1-0.088))+(E18/E6))*(H4/2))+E17</f>
        <v>100.60075855077048</v>
      </c>
      <c r="F27" s="4"/>
      <c r="G27" s="4"/>
      <c r="H27" s="4"/>
    </row>
    <row r="28" spans="3:16" ht="18" hidden="1" customHeight="1" x14ac:dyDescent="0.25">
      <c r="C28" s="178">
        <v>4</v>
      </c>
      <c r="D28" s="105"/>
      <c r="E28" s="104"/>
      <c r="F28" s="4"/>
      <c r="G28" s="4"/>
      <c r="H28" s="4"/>
    </row>
    <row r="29" spans="3:16" ht="18" hidden="1" customHeight="1" x14ac:dyDescent="0.25">
      <c r="C29" s="171"/>
      <c r="D29" s="105" t="s">
        <v>52</v>
      </c>
      <c r="E29" s="104">
        <f>($J$20*E4/2)+(((E9*(1-0.088))+(E19/E6))*(H4/2))+E17</f>
        <v>134.76261099349801</v>
      </c>
      <c r="F29" s="4"/>
      <c r="G29" s="4"/>
      <c r="H29" s="4"/>
    </row>
    <row r="30" spans="3:16" ht="18" hidden="1" customHeight="1" x14ac:dyDescent="0.25">
      <c r="D30" s="12"/>
      <c r="E30" s="5"/>
      <c r="F30" s="4"/>
      <c r="G30" s="4"/>
      <c r="H30" s="4"/>
    </row>
    <row r="31" spans="3:16" ht="18" hidden="1" customHeight="1" x14ac:dyDescent="0.3">
      <c r="C31" s="181"/>
      <c r="D31" s="182"/>
      <c r="E31" s="128"/>
      <c r="F31" s="4"/>
      <c r="G31" s="4"/>
      <c r="H31" s="4"/>
    </row>
    <row r="32" spans="3:16" ht="25.05" hidden="1" customHeight="1" x14ac:dyDescent="0.25">
      <c r="D32" s="179"/>
      <c r="E32" s="180"/>
      <c r="F32" s="4"/>
      <c r="G32" s="4"/>
      <c r="H32" s="4"/>
      <c r="P32" s="54" t="s">
        <v>40</v>
      </c>
    </row>
    <row r="33" spans="3:35" ht="18" customHeight="1" x14ac:dyDescent="0.3">
      <c r="C33" s="44"/>
      <c r="D33" s="44"/>
      <c r="E33" s="130"/>
      <c r="F33" s="6"/>
      <c r="G33" s="7"/>
      <c r="H33" s="7"/>
      <c r="P33" s="106" t="s">
        <v>38</v>
      </c>
      <c r="Q33" s="107"/>
      <c r="R33" s="51">
        <v>2</v>
      </c>
      <c r="S33" s="52">
        <v>2</v>
      </c>
      <c r="T33" s="51">
        <v>2.5</v>
      </c>
      <c r="U33" s="53">
        <v>2.5</v>
      </c>
      <c r="V33" s="51">
        <v>3</v>
      </c>
      <c r="W33" s="53">
        <v>3</v>
      </c>
      <c r="X33" s="51">
        <v>3.5</v>
      </c>
      <c r="Y33" s="53">
        <v>3.5</v>
      </c>
      <c r="Z33" s="51">
        <v>4</v>
      </c>
      <c r="AA33" s="53">
        <v>4</v>
      </c>
      <c r="AB33" s="51">
        <v>4.5</v>
      </c>
      <c r="AC33" s="53">
        <v>4.5</v>
      </c>
      <c r="AD33" s="52">
        <v>5</v>
      </c>
      <c r="AE33" s="52">
        <v>5</v>
      </c>
      <c r="AF33" s="51">
        <v>5.5</v>
      </c>
      <c r="AG33" s="53">
        <v>5.5</v>
      </c>
      <c r="AH33" s="52">
        <v>6</v>
      </c>
      <c r="AI33" s="53">
        <v>6</v>
      </c>
    </row>
    <row r="34" spans="3:35" ht="17.399999999999999" hidden="1" customHeight="1" x14ac:dyDescent="0.3">
      <c r="C34" s="133">
        <v>1</v>
      </c>
      <c r="D34" s="136" t="s">
        <v>33</v>
      </c>
      <c r="E34" s="132">
        <f>(((384*$H$13*100000)/(5*$E23*E10))^(1/3))/100</f>
        <v>4.5837469585973798</v>
      </c>
      <c r="F34" s="6"/>
      <c r="G34" s="7"/>
      <c r="H34" s="7"/>
      <c r="P34" s="108" t="s">
        <v>2</v>
      </c>
      <c r="Q34" s="109"/>
      <c r="R34" s="55">
        <v>5</v>
      </c>
      <c r="S34" s="67">
        <v>20</v>
      </c>
      <c r="T34" s="55">
        <v>5</v>
      </c>
      <c r="U34" s="57">
        <v>20</v>
      </c>
      <c r="V34" s="71">
        <v>5</v>
      </c>
      <c r="W34" s="67">
        <v>20</v>
      </c>
      <c r="X34" s="55">
        <v>5</v>
      </c>
      <c r="Y34" s="57">
        <v>20</v>
      </c>
      <c r="Z34" s="71">
        <v>5</v>
      </c>
      <c r="AA34" s="67">
        <v>20</v>
      </c>
      <c r="AB34" s="55">
        <v>5</v>
      </c>
      <c r="AC34" s="57">
        <v>20</v>
      </c>
      <c r="AD34" s="71">
        <v>5</v>
      </c>
      <c r="AE34" s="67">
        <v>20</v>
      </c>
      <c r="AF34" s="55">
        <v>5</v>
      </c>
      <c r="AG34" s="57">
        <v>20</v>
      </c>
      <c r="AH34" s="71">
        <v>5</v>
      </c>
      <c r="AI34" s="57">
        <v>20</v>
      </c>
    </row>
    <row r="35" spans="3:35" ht="18" hidden="1" customHeight="1" x14ac:dyDescent="0.3">
      <c r="C35" s="44"/>
      <c r="D35" s="45"/>
      <c r="E35" s="46"/>
      <c r="F35" s="6"/>
      <c r="G35" s="7"/>
      <c r="H35" s="7"/>
      <c r="P35" s="183" t="s">
        <v>39</v>
      </c>
      <c r="Q35" s="48">
        <v>45</v>
      </c>
      <c r="R35" s="58">
        <f t="shared" ref="R35:AA39" si="1">(((384*$H$13*100000)/(5*((((VLOOKUP(R$34,$I$8:$J$18,2))*$Q35)*R$33/2)+((($E$9*(1-0.088))+($E$18/$E$6))*((R$33/COS(R$34*PI()/180))/2))+$E$16)*$E$10))^(1/3))/100</f>
        <v>5.2116489527627925</v>
      </c>
      <c r="S35" s="68">
        <f t="shared" si="1"/>
        <v>5.175870879680077</v>
      </c>
      <c r="T35" s="58">
        <f t="shared" si="1"/>
        <v>4.8616494162459469</v>
      </c>
      <c r="U35" s="60">
        <f t="shared" si="1"/>
        <v>4.8277904511124339</v>
      </c>
      <c r="V35" s="72">
        <f t="shared" si="1"/>
        <v>4.5900253187928248</v>
      </c>
      <c r="W35" s="68">
        <f t="shared" si="1"/>
        <v>4.557746239851812</v>
      </c>
      <c r="X35" s="58">
        <f t="shared" si="1"/>
        <v>4.3704498209909701</v>
      </c>
      <c r="Y35" s="60">
        <f t="shared" si="1"/>
        <v>4.3394992343392884</v>
      </c>
      <c r="Z35" s="72">
        <f t="shared" si="1"/>
        <v>4.1876491271387399</v>
      </c>
      <c r="AA35" s="68">
        <f t="shared" si="1"/>
        <v>4.1578362032979195</v>
      </c>
      <c r="AB35" s="58">
        <f t="shared" ref="AB35:AI39" si="2">(((384*$H$13*100000)/(5*((((VLOOKUP(AB$34,$I$8:$J$18,2))*$Q35)*AB$33/2)+((($E$9*(1-0.088))+($E$18/$E$6))*((AB$33/COS(AB$34*PI()/180))/2))+$E$16)*$E$10))^(1/3))/100</f>
        <v>4.0320410502106947</v>
      </c>
      <c r="AC35" s="60">
        <f t="shared" si="2"/>
        <v>4.0032173365804189</v>
      </c>
      <c r="AD35" s="72">
        <f t="shared" si="2"/>
        <v>3.8972537003531844</v>
      </c>
      <c r="AE35" s="68">
        <f t="shared" si="2"/>
        <v>3.8693011417443999</v>
      </c>
      <c r="AF35" s="58">
        <f t="shared" si="2"/>
        <v>3.7788544031471667</v>
      </c>
      <c r="AG35" s="60">
        <f t="shared" si="2"/>
        <v>3.7516773062671431</v>
      </c>
      <c r="AH35" s="72">
        <f t="shared" si="2"/>
        <v>3.6736463863403954</v>
      </c>
      <c r="AI35" s="60">
        <f t="shared" si="2"/>
        <v>3.6471658940647402</v>
      </c>
    </row>
    <row r="36" spans="3:35" ht="18" hidden="1" customHeight="1" x14ac:dyDescent="0.3">
      <c r="C36" s="44"/>
      <c r="D36" s="45"/>
      <c r="E36" s="46"/>
      <c r="F36" s="6"/>
      <c r="G36" s="7"/>
      <c r="H36" s="7"/>
      <c r="P36" s="184"/>
      <c r="Q36" s="49">
        <v>55</v>
      </c>
      <c r="R36" s="61">
        <f t="shared" si="1"/>
        <v>5.005135215774283</v>
      </c>
      <c r="S36" s="69">
        <f t="shared" si="1"/>
        <v>4.9746521735801901</v>
      </c>
      <c r="T36" s="61">
        <f t="shared" si="1"/>
        <v>4.6663950671133803</v>
      </c>
      <c r="U36" s="63">
        <f t="shared" si="1"/>
        <v>4.6376103063747776</v>
      </c>
      <c r="V36" s="73">
        <f t="shared" si="1"/>
        <v>4.4040000562938566</v>
      </c>
      <c r="W36" s="69">
        <f t="shared" si="1"/>
        <v>4.3765994299412538</v>
      </c>
      <c r="X36" s="61">
        <f t="shared" si="1"/>
        <v>4.19216301797666</v>
      </c>
      <c r="Y36" s="63">
        <f t="shared" si="1"/>
        <v>4.165918604908736</v>
      </c>
      <c r="Z36" s="73">
        <f t="shared" si="1"/>
        <v>4.0159758266925722</v>
      </c>
      <c r="AA36" s="69">
        <f t="shared" si="1"/>
        <v>3.9907168999806406</v>
      </c>
      <c r="AB36" s="61">
        <f t="shared" si="2"/>
        <v>3.8661095893483544</v>
      </c>
      <c r="AC36" s="63">
        <f t="shared" si="2"/>
        <v>3.8417045452688656</v>
      </c>
      <c r="AD36" s="73">
        <f t="shared" si="2"/>
        <v>3.7363729125033327</v>
      </c>
      <c r="AE36" s="69">
        <f t="shared" si="2"/>
        <v>3.712717794547439</v>
      </c>
      <c r="AF36" s="61">
        <f t="shared" si="2"/>
        <v>3.6224652849196657</v>
      </c>
      <c r="AG36" s="63">
        <f t="shared" si="2"/>
        <v>3.5994762596591712</v>
      </c>
      <c r="AH36" s="73">
        <f t="shared" si="2"/>
        <v>3.5212890920067337</v>
      </c>
      <c r="AI36" s="63">
        <f t="shared" si="2"/>
        <v>3.4988973557373959</v>
      </c>
    </row>
    <row r="37" spans="3:35" ht="18" hidden="1" customHeight="1" x14ac:dyDescent="0.3">
      <c r="C37" s="44"/>
      <c r="D37" s="45"/>
      <c r="E37" s="46"/>
      <c r="F37" s="6"/>
      <c r="G37" s="7"/>
      <c r="H37" s="7"/>
      <c r="P37" s="184"/>
      <c r="Q37" s="49">
        <v>65</v>
      </c>
      <c r="R37" s="61">
        <f t="shared" si="1"/>
        <v>4.8278948245626392</v>
      </c>
      <c r="S37" s="69">
        <f t="shared" si="1"/>
        <v>4.8014727557779722</v>
      </c>
      <c r="T37" s="61">
        <f t="shared" si="1"/>
        <v>4.4991530611614943</v>
      </c>
      <c r="U37" s="63">
        <f t="shared" si="1"/>
        <v>4.4742465128628659</v>
      </c>
      <c r="V37" s="73">
        <f t="shared" si="1"/>
        <v>4.2448802015171738</v>
      </c>
      <c r="W37" s="69">
        <f t="shared" si="1"/>
        <v>4.2211994225229761</v>
      </c>
      <c r="X37" s="61">
        <f t="shared" si="1"/>
        <v>4.039813111571644</v>
      </c>
      <c r="Y37" s="63">
        <f t="shared" si="1"/>
        <v>4.0171510724450963</v>
      </c>
      <c r="Z37" s="73">
        <f t="shared" si="1"/>
        <v>3.8693872722650373</v>
      </c>
      <c r="AA37" s="69">
        <f t="shared" si="1"/>
        <v>3.8475904050092748</v>
      </c>
      <c r="AB37" s="61">
        <f t="shared" si="2"/>
        <v>3.7245072057091759</v>
      </c>
      <c r="AC37" s="63">
        <f t="shared" si="2"/>
        <v>3.7034579386268276</v>
      </c>
      <c r="AD37" s="73">
        <f t="shared" si="2"/>
        <v>3.5991456974914633</v>
      </c>
      <c r="AE37" s="69">
        <f t="shared" si="2"/>
        <v>3.5787516255954999</v>
      </c>
      <c r="AF37" s="61">
        <f t="shared" si="2"/>
        <v>3.4891213322185637</v>
      </c>
      <c r="AG37" s="63">
        <f t="shared" si="2"/>
        <v>3.4693082265889688</v>
      </c>
      <c r="AH37" s="73">
        <f t="shared" si="2"/>
        <v>3.3914252198378265</v>
      </c>
      <c r="AI37" s="63">
        <f t="shared" si="2"/>
        <v>3.3721323472532823</v>
      </c>
    </row>
    <row r="38" spans="3:35" ht="18" hidden="1" customHeight="1" x14ac:dyDescent="0.3">
      <c r="C38" s="44"/>
      <c r="D38" s="45"/>
      <c r="E38" s="46"/>
      <c r="F38" s="6"/>
      <c r="G38" s="7"/>
      <c r="H38" s="7"/>
      <c r="P38" s="184"/>
      <c r="Q38" s="50">
        <v>90</v>
      </c>
      <c r="R38" s="64">
        <f t="shared" si="1"/>
        <v>4.4743235095778502</v>
      </c>
      <c r="S38" s="70">
        <f t="shared" si="1"/>
        <v>4.4547885364179542</v>
      </c>
      <c r="T38" s="64">
        <f t="shared" si="1"/>
        <v>4.1663599745597688</v>
      </c>
      <c r="U38" s="66">
        <f t="shared" si="1"/>
        <v>4.1480028144610408</v>
      </c>
      <c r="V38" s="74">
        <f t="shared" si="1"/>
        <v>3.9287862824197499</v>
      </c>
      <c r="W38" s="70">
        <f t="shared" si="1"/>
        <v>3.9113694358416153</v>
      </c>
      <c r="X38" s="64">
        <f t="shared" si="1"/>
        <v>3.7375392385930035</v>
      </c>
      <c r="Y38" s="66">
        <f t="shared" si="1"/>
        <v>3.7208971185149431</v>
      </c>
      <c r="Z38" s="74">
        <f t="shared" si="1"/>
        <v>3.5788146558619247</v>
      </c>
      <c r="AA38" s="70">
        <f t="shared" si="1"/>
        <v>3.5628263860875768</v>
      </c>
      <c r="AB38" s="64">
        <f t="shared" si="2"/>
        <v>3.4440227166257755</v>
      </c>
      <c r="AC38" s="66">
        <f t="shared" si="2"/>
        <v>3.4285967962502837</v>
      </c>
      <c r="AD38" s="74">
        <f t="shared" si="2"/>
        <v>3.3274867457092454</v>
      </c>
      <c r="AE38" s="70">
        <f t="shared" si="2"/>
        <v>3.3125518648982317</v>
      </c>
      <c r="AF38" s="64">
        <f t="shared" si="2"/>
        <v>3.2252769245697412</v>
      </c>
      <c r="AG38" s="66">
        <f t="shared" si="2"/>
        <v>3.2107761742020773</v>
      </c>
      <c r="AH38" s="74">
        <f t="shared" si="2"/>
        <v>3.1345702843380843</v>
      </c>
      <c r="AI38" s="66">
        <f t="shared" si="2"/>
        <v>3.1204573450970066</v>
      </c>
    </row>
    <row r="39" spans="3:35" ht="18" hidden="1" customHeight="1" x14ac:dyDescent="0.25">
      <c r="C39" s="44"/>
      <c r="D39" s="44"/>
      <c r="E39" s="130"/>
      <c r="F39" s="8"/>
      <c r="G39" s="7"/>
      <c r="H39" s="7"/>
      <c r="P39" s="184"/>
      <c r="Q39" s="111">
        <v>140</v>
      </c>
      <c r="R39" s="112">
        <f t="shared" si="1"/>
        <v>3.9920092072084787</v>
      </c>
      <c r="S39" s="113">
        <f t="shared" si="1"/>
        <v>3.9795993436647206</v>
      </c>
      <c r="T39" s="112">
        <f t="shared" si="1"/>
        <v>3.7139279515134316</v>
      </c>
      <c r="U39" s="114">
        <f t="shared" si="1"/>
        <v>3.7023073896365104</v>
      </c>
      <c r="V39" s="115">
        <f t="shared" si="1"/>
        <v>3.5000428192040793</v>
      </c>
      <c r="W39" s="113">
        <f t="shared" si="1"/>
        <v>3.4890437480986454</v>
      </c>
      <c r="X39" s="112">
        <f t="shared" si="1"/>
        <v>3.3282202536721757</v>
      </c>
      <c r="Y39" s="114">
        <f t="shared" si="1"/>
        <v>3.3177284768340178</v>
      </c>
      <c r="Z39" s="115">
        <f t="shared" si="1"/>
        <v>3.1858334790562806</v>
      </c>
      <c r="AA39" s="113">
        <f t="shared" si="1"/>
        <v>3.1757669770132551</v>
      </c>
      <c r="AB39" s="112">
        <f t="shared" si="2"/>
        <v>3.0650567961374828</v>
      </c>
      <c r="AC39" s="114">
        <f t="shared" si="2"/>
        <v>3.0553542015656077</v>
      </c>
      <c r="AD39" s="115">
        <f t="shared" si="2"/>
        <v>2.9607341927682778</v>
      </c>
      <c r="AE39" s="113">
        <f t="shared" si="2"/>
        <v>2.9513480987777676</v>
      </c>
      <c r="AF39" s="112">
        <f t="shared" si="2"/>
        <v>2.8693047900199202</v>
      </c>
      <c r="AG39" s="114">
        <f t="shared" si="2"/>
        <v>2.8601976226108987</v>
      </c>
      <c r="AH39" s="115">
        <f t="shared" si="2"/>
        <v>2.7882155566563149</v>
      </c>
      <c r="AI39" s="114">
        <f t="shared" si="2"/>
        <v>2.7793569022711222</v>
      </c>
    </row>
    <row r="40" spans="3:35" ht="18" customHeight="1" x14ac:dyDescent="0.3">
      <c r="C40" s="133">
        <v>2</v>
      </c>
      <c r="D40" s="163" t="s">
        <v>57</v>
      </c>
      <c r="E40" s="132">
        <f>1.08*((((384*$H$13*100000)/(5*$E25*E10))^(1/3))/100)</f>
        <v>4.4522466060392327</v>
      </c>
      <c r="F40" s="8"/>
      <c r="G40" s="7"/>
      <c r="H40" s="7"/>
      <c r="P40" s="54" t="s">
        <v>49</v>
      </c>
    </row>
    <row r="41" spans="3:35" ht="18" customHeight="1" x14ac:dyDescent="0.25">
      <c r="C41" s="44"/>
      <c r="D41" s="45"/>
      <c r="E41" s="46"/>
      <c r="F41" s="8"/>
      <c r="G41" s="7"/>
      <c r="H41" s="7"/>
      <c r="P41" s="185" t="s">
        <v>39</v>
      </c>
      <c r="Q41" s="142">
        <v>45</v>
      </c>
      <c r="R41" s="152">
        <f>1.08*((((384*$H$13*100000)/(5*((((VLOOKUP(R$34,$I$8:$J$18,2))*$Q41)*R$33/2)+((($E$9*(1-0.088))+($E$19/$E$6))*((R$33/COS(R$34*PI()/180))/2))+$E$16)*$E$10))^(1/3))/100)</f>
        <v>5.0766222392815372</v>
      </c>
      <c r="S41" s="152">
        <f t="shared" ref="S41:AI45" si="3">1.08*((((384*$H$13*100000)/(5*((((VLOOKUP(S$34,$I$8:$J$18,2))*$Q41)*S$33/2)+((($E$9*(1-0.088))+($E$19/$E$6))*((S$33/COS(S$34*PI()/180))/2))+$E$16)*$E$10))^(1/3))/100)</f>
        <v>5.0246831798883971</v>
      </c>
      <c r="T41" s="152">
        <f t="shared" si="3"/>
        <v>4.7295298405596586</v>
      </c>
      <c r="U41" s="152">
        <f t="shared" si="3"/>
        <v>4.6806328867392608</v>
      </c>
      <c r="V41" s="152">
        <f t="shared" si="3"/>
        <v>4.4613310316792987</v>
      </c>
      <c r="W41" s="152">
        <f t="shared" si="3"/>
        <v>4.4148811449724024</v>
      </c>
      <c r="X41" s="152">
        <f t="shared" si="3"/>
        <v>4.2451835795277395</v>
      </c>
      <c r="Y41" s="152">
        <f t="shared" si="3"/>
        <v>4.2007600503673785</v>
      </c>
      <c r="Z41" s="152">
        <f t="shared" si="3"/>
        <v>4.0656415746209769</v>
      </c>
      <c r="AA41" s="152">
        <f t="shared" si="3"/>
        <v>4.0229344560433233</v>
      </c>
      <c r="AB41" s="152">
        <f t="shared" si="3"/>
        <v>3.9130721975116542</v>
      </c>
      <c r="AC41" s="152">
        <f t="shared" si="3"/>
        <v>3.8718453309759511</v>
      </c>
      <c r="AD41" s="152">
        <f t="shared" si="3"/>
        <v>3.7810987342629785</v>
      </c>
      <c r="AE41" s="152">
        <f t="shared" si="3"/>
        <v>3.7411671736269896</v>
      </c>
      <c r="AF41" s="152">
        <f t="shared" si="3"/>
        <v>3.6653008859551481</v>
      </c>
      <c r="AG41" s="152">
        <f t="shared" si="3"/>
        <v>3.6265164739547942</v>
      </c>
      <c r="AH41" s="152">
        <f t="shared" si="3"/>
        <v>3.5624999465472116</v>
      </c>
      <c r="AI41" s="153">
        <f t="shared" si="3"/>
        <v>3.5247417294657062</v>
      </c>
    </row>
    <row r="42" spans="3:35" ht="18" customHeight="1" x14ac:dyDescent="0.25">
      <c r="C42" s="44"/>
      <c r="D42" s="45"/>
      <c r="E42" s="46"/>
      <c r="F42" s="8"/>
      <c r="G42" s="7"/>
      <c r="H42" s="7"/>
      <c r="P42" s="186"/>
      <c r="Q42" s="143">
        <v>55</v>
      </c>
      <c r="R42" s="141">
        <f t="shared" ref="R42:AG45" si="4">1.08*((((384*$H$13*100000)/(5*((((VLOOKUP(R$34,$I$8:$J$18,2))*$Q42)*R$33/2)+((($E$9*(1-0.088))+($E$19/$E$6))*((R$33/COS(R$34*PI()/180))/2))+$E$16)*$E$10))^(1/3))/100)</f>
        <v>4.9259181681050315</v>
      </c>
      <c r="S42" s="141">
        <f t="shared" si="4"/>
        <v>4.8797962584225969</v>
      </c>
      <c r="T42" s="141">
        <f t="shared" si="4"/>
        <v>4.5877102873452493</v>
      </c>
      <c r="U42" s="141">
        <f t="shared" si="4"/>
        <v>4.5443419026092524</v>
      </c>
      <c r="V42" s="141">
        <f t="shared" si="4"/>
        <v>4.3266460329609755</v>
      </c>
      <c r="W42" s="141">
        <f t="shared" si="4"/>
        <v>4.2854815793882448</v>
      </c>
      <c r="X42" s="141">
        <f t="shared" si="4"/>
        <v>4.1163998230076615</v>
      </c>
      <c r="Y42" s="141">
        <f t="shared" si="4"/>
        <v>4.0770543184147856</v>
      </c>
      <c r="Z42" s="141">
        <f t="shared" si="4"/>
        <v>3.9418523503444836</v>
      </c>
      <c r="AA42" s="141">
        <f t="shared" si="4"/>
        <v>3.9040438923627252</v>
      </c>
      <c r="AB42" s="141">
        <f t="shared" si="4"/>
        <v>3.7935876759736331</v>
      </c>
      <c r="AC42" s="141">
        <f t="shared" si="4"/>
        <v>3.7571023996295332</v>
      </c>
      <c r="AD42" s="141">
        <f t="shared" si="4"/>
        <v>3.6653792756383243</v>
      </c>
      <c r="AE42" s="141">
        <f t="shared" si="4"/>
        <v>3.6300502332549707</v>
      </c>
      <c r="AF42" s="141">
        <f t="shared" si="4"/>
        <v>3.5529145635979784</v>
      </c>
      <c r="AG42" s="141">
        <f t="shared" si="4"/>
        <v>3.5186083506674022</v>
      </c>
      <c r="AH42" s="141">
        <f t="shared" si="3"/>
        <v>3.4530943819147155</v>
      </c>
      <c r="AI42" s="154">
        <f t="shared" si="3"/>
        <v>3.4197023064874474</v>
      </c>
    </row>
    <row r="43" spans="3:35" ht="18" customHeight="1" x14ac:dyDescent="0.25">
      <c r="C43" s="44"/>
      <c r="D43" s="45"/>
      <c r="E43" s="46"/>
      <c r="F43" s="8"/>
      <c r="G43" s="7"/>
      <c r="H43" s="7"/>
      <c r="P43" s="186"/>
      <c r="Q43" s="143">
        <v>65</v>
      </c>
      <c r="R43" s="141">
        <f t="shared" si="4"/>
        <v>4.7916519596671732</v>
      </c>
      <c r="S43" s="141">
        <f t="shared" si="3"/>
        <v>4.7502955112583827</v>
      </c>
      <c r="T43" s="141">
        <f t="shared" si="3"/>
        <v>4.4615030969021516</v>
      </c>
      <c r="U43" s="141">
        <f t="shared" si="3"/>
        <v>4.4226549963125077</v>
      </c>
      <c r="V43" s="141">
        <f t="shared" si="3"/>
        <v>4.206880294970551</v>
      </c>
      <c r="W43" s="141">
        <f t="shared" si="3"/>
        <v>4.1700316607951429</v>
      </c>
      <c r="X43" s="141">
        <f t="shared" si="3"/>
        <v>4.0019453633624211</v>
      </c>
      <c r="Y43" s="141">
        <f t="shared" si="3"/>
        <v>3.9667423874127481</v>
      </c>
      <c r="Z43" s="141">
        <f t="shared" si="3"/>
        <v>3.8318830010435665</v>
      </c>
      <c r="AA43" s="141">
        <f t="shared" si="3"/>
        <v>3.7980678855365979</v>
      </c>
      <c r="AB43" s="141">
        <f t="shared" si="3"/>
        <v>3.6874774192059747</v>
      </c>
      <c r="AC43" s="141">
        <f t="shared" si="3"/>
        <v>3.6548552736109738</v>
      </c>
      <c r="AD43" s="141">
        <f t="shared" si="3"/>
        <v>3.5626398683465426</v>
      </c>
      <c r="AE43" s="141">
        <f t="shared" si="3"/>
        <v>3.5310589580610841</v>
      </c>
      <c r="AF43" s="141">
        <f t="shared" si="3"/>
        <v>3.4531561339298045</v>
      </c>
      <c r="AG43" s="141">
        <f t="shared" si="3"/>
        <v>3.4224954599025206</v>
      </c>
      <c r="AH43" s="141">
        <f t="shared" si="3"/>
        <v>3.3559994580646979</v>
      </c>
      <c r="AI43" s="154">
        <f t="shared" si="3"/>
        <v>3.3261605979728492</v>
      </c>
    </row>
    <row r="44" spans="3:35" ht="18" customHeight="1" x14ac:dyDescent="0.25">
      <c r="C44" s="44"/>
      <c r="D44" s="45"/>
      <c r="E44" s="46"/>
      <c r="F44" s="8"/>
      <c r="G44" s="7"/>
      <c r="H44" s="7"/>
      <c r="P44" s="186"/>
      <c r="Q44" s="144">
        <v>90</v>
      </c>
      <c r="R44" s="141">
        <f t="shared" si="4"/>
        <v>4.5104873530668259</v>
      </c>
      <c r="S44" s="141">
        <f t="shared" si="3"/>
        <v>4.477923557730298</v>
      </c>
      <c r="T44" s="141">
        <f t="shared" si="3"/>
        <v>4.1976191870562625</v>
      </c>
      <c r="U44" s="141">
        <f t="shared" si="3"/>
        <v>4.1670899154869803</v>
      </c>
      <c r="V44" s="141">
        <f t="shared" si="3"/>
        <v>3.9567239402693426</v>
      </c>
      <c r="W44" s="141">
        <f t="shared" si="3"/>
        <v>3.9278040314112941</v>
      </c>
      <c r="X44" s="141">
        <f t="shared" si="3"/>
        <v>3.763061338193685</v>
      </c>
      <c r="Y44" s="141">
        <f t="shared" si="3"/>
        <v>3.7354591753965374</v>
      </c>
      <c r="Z44" s="141">
        <f t="shared" si="3"/>
        <v>3.6024896416369447</v>
      </c>
      <c r="AA44" s="141">
        <f t="shared" si="3"/>
        <v>3.5759946590343992</v>
      </c>
      <c r="AB44" s="141">
        <f t="shared" si="3"/>
        <v>3.4662317542746952</v>
      </c>
      <c r="AC44" s="141">
        <f t="shared" si="3"/>
        <v>3.4406857990483926</v>
      </c>
      <c r="AD44" s="141">
        <f t="shared" si="3"/>
        <v>3.3484986069301397</v>
      </c>
      <c r="AE44" s="141">
        <f t="shared" si="3"/>
        <v>3.3237791485509813</v>
      </c>
      <c r="AF44" s="141">
        <f t="shared" si="3"/>
        <v>3.2452887412556248</v>
      </c>
      <c r="AG44" s="141">
        <f t="shared" si="3"/>
        <v>3.2212984421711401</v>
      </c>
      <c r="AH44" s="141">
        <f t="shared" si="3"/>
        <v>3.1537312945194569</v>
      </c>
      <c r="AI44" s="154">
        <f t="shared" si="3"/>
        <v>3.1303912218972996</v>
      </c>
    </row>
    <row r="45" spans="3:35" ht="18" customHeight="1" x14ac:dyDescent="0.3">
      <c r="C45" s="44"/>
      <c r="D45" s="44"/>
      <c r="E45" s="130"/>
      <c r="F45" s="6"/>
      <c r="G45" s="7"/>
      <c r="H45" s="7"/>
      <c r="P45" s="187"/>
      <c r="Q45" s="149">
        <v>140</v>
      </c>
      <c r="R45" s="155">
        <f t="shared" si="4"/>
        <v>4.099608017457073</v>
      </c>
      <c r="S45" s="155">
        <f t="shared" si="3"/>
        <v>4.0773047225524319</v>
      </c>
      <c r="T45" s="155">
        <f t="shared" si="3"/>
        <v>3.8128642452034032</v>
      </c>
      <c r="U45" s="155">
        <f t="shared" si="3"/>
        <v>3.7920054806554555</v>
      </c>
      <c r="V45" s="155">
        <f t="shared" si="3"/>
        <v>3.5925407422158009</v>
      </c>
      <c r="W45" s="155">
        <f t="shared" si="3"/>
        <v>3.5728140877466386</v>
      </c>
      <c r="X45" s="155">
        <f t="shared" si="3"/>
        <v>3.4156708234153372</v>
      </c>
      <c r="Y45" s="155">
        <f t="shared" si="3"/>
        <v>3.3968653338864017</v>
      </c>
      <c r="Z45" s="155">
        <f t="shared" si="3"/>
        <v>3.2691773407837208</v>
      </c>
      <c r="AA45" s="155">
        <f t="shared" si="3"/>
        <v>3.2511423130958019</v>
      </c>
      <c r="AB45" s="155">
        <f t="shared" si="3"/>
        <v>3.1449665585352329</v>
      </c>
      <c r="AC45" s="155">
        <f t="shared" si="3"/>
        <v>3.1275896704206683</v>
      </c>
      <c r="AD45" s="155">
        <f t="shared" si="3"/>
        <v>3.0377113843128116</v>
      </c>
      <c r="AE45" s="155">
        <f t="shared" si="3"/>
        <v>3.0209061196730667</v>
      </c>
      <c r="AF45" s="155">
        <f t="shared" si="3"/>
        <v>2.9437357701368962</v>
      </c>
      <c r="AG45" s="155">
        <f t="shared" si="3"/>
        <v>2.9274337153908747</v>
      </c>
      <c r="AH45" s="155">
        <f t="shared" si="3"/>
        <v>2.8604058342851886</v>
      </c>
      <c r="AI45" s="156">
        <f t="shared" si="3"/>
        <v>2.8445517162219662</v>
      </c>
    </row>
    <row r="46" spans="3:35" ht="18" hidden="1" customHeight="1" x14ac:dyDescent="0.3">
      <c r="C46" s="133">
        <v>3</v>
      </c>
      <c r="D46" s="136" t="s">
        <v>33</v>
      </c>
      <c r="E46" s="132">
        <f>(((384*$H$14*100000)/(5*$E27*E10))^(1/3))/100</f>
        <v>5.8744082204507411</v>
      </c>
      <c r="F46" s="6"/>
      <c r="G46" s="7"/>
      <c r="H46" s="7"/>
      <c r="P46" s="54" t="s">
        <v>46</v>
      </c>
    </row>
    <row r="47" spans="3:35" ht="18" hidden="1" customHeight="1" x14ac:dyDescent="0.3">
      <c r="C47" s="44"/>
      <c r="D47" s="45"/>
      <c r="E47" s="46"/>
      <c r="F47" s="6"/>
      <c r="G47" s="7"/>
      <c r="H47" s="7"/>
      <c r="P47" s="183" t="s">
        <v>39</v>
      </c>
      <c r="Q47" s="48">
        <v>45</v>
      </c>
      <c r="R47" s="58">
        <f t="shared" ref="R47:AA51" si="5">(((384*$H$14*100000)/(5*((((VLOOKUP(R$34,$I$8:$J$18,2))*$Q47)*R$33/2)+((($E$9*(1-0.088))+($E$18/$E$6))*((R$33/COS(R$34*PI()/180))/2))+$E$17)*$E$10))^(1/3))/100</f>
        <v>6.5839446949684008</v>
      </c>
      <c r="S47" s="68">
        <f t="shared" si="5"/>
        <v>6.5446335273841871</v>
      </c>
      <c r="T47" s="58">
        <f t="shared" si="5"/>
        <v>6.1934482628260135</v>
      </c>
      <c r="U47" s="60">
        <f t="shared" si="5"/>
        <v>6.1549888992782096</v>
      </c>
      <c r="V47" s="72">
        <f t="shared" si="5"/>
        <v>5.8816991042697797</v>
      </c>
      <c r="W47" s="68">
        <f t="shared" si="5"/>
        <v>5.8441745609948921</v>
      </c>
      <c r="X47" s="58">
        <f t="shared" si="5"/>
        <v>5.6245350479938825</v>
      </c>
      <c r="Y47" s="60">
        <f t="shared" si="5"/>
        <v>5.5879346430921721</v>
      </c>
      <c r="Z47" s="72">
        <f t="shared" si="5"/>
        <v>5.4071609944646868</v>
      </c>
      <c r="AA47" s="68">
        <f t="shared" si="5"/>
        <v>5.3714401400433482</v>
      </c>
      <c r="AB47" s="58">
        <f t="shared" ref="AB47:AI51" si="6">(((384*$H$14*100000)/(5*((((VLOOKUP(AB$34,$I$8:$J$18,2))*$Q47)*AB$33/2)+((($E$9*(1-0.088))+($E$18/$E$6))*((AB$33/COS(AB$34*PI()/180))/2))+$E$17)*$E$10))^(1/3))/100</f>
        <v>5.2199174743659418</v>
      </c>
      <c r="AC47" s="60">
        <f t="shared" si="6"/>
        <v>5.1850209296799399</v>
      </c>
      <c r="AD47" s="72">
        <f t="shared" si="6"/>
        <v>5.056180736396823</v>
      </c>
      <c r="AE47" s="68">
        <f t="shared" si="6"/>
        <v>5.0220520876134085</v>
      </c>
      <c r="AF47" s="58">
        <f t="shared" si="6"/>
        <v>4.9112288859103215</v>
      </c>
      <c r="AG47" s="60">
        <f t="shared" si="6"/>
        <v>4.877814386625956</v>
      </c>
      <c r="AH47" s="72">
        <f t="shared" si="6"/>
        <v>4.7815880626445129</v>
      </c>
      <c r="AI47" s="60">
        <f t="shared" si="6"/>
        <v>4.7488380424905809</v>
      </c>
    </row>
    <row r="48" spans="3:35" ht="18" hidden="1" customHeight="1" x14ac:dyDescent="0.3">
      <c r="C48" s="44"/>
      <c r="D48" s="45"/>
      <c r="E48" s="46"/>
      <c r="F48" s="6"/>
      <c r="G48" s="7"/>
      <c r="H48" s="7"/>
      <c r="P48" s="184"/>
      <c r="Q48" s="49">
        <v>55</v>
      </c>
      <c r="R48" s="61">
        <f t="shared" si="5"/>
        <v>6.3551146201547191</v>
      </c>
      <c r="S48" s="69">
        <f t="shared" si="5"/>
        <v>6.3209493148633422</v>
      </c>
      <c r="T48" s="61">
        <f t="shared" si="5"/>
        <v>5.9700830182645106</v>
      </c>
      <c r="U48" s="63">
        <f t="shared" si="5"/>
        <v>5.9368358666091572</v>
      </c>
      <c r="V48" s="73">
        <f t="shared" si="5"/>
        <v>5.6641134848873227</v>
      </c>
      <c r="W48" s="69">
        <f t="shared" si="5"/>
        <v>5.6317971176122787</v>
      </c>
      <c r="X48" s="61">
        <f t="shared" si="5"/>
        <v>5.4125629397385477</v>
      </c>
      <c r="Y48" s="63">
        <f t="shared" si="5"/>
        <v>5.3811314918490121</v>
      </c>
      <c r="Z48" s="73">
        <f t="shared" si="5"/>
        <v>5.2004755225645631</v>
      </c>
      <c r="AA48" s="69">
        <f t="shared" si="5"/>
        <v>5.1698666127972608</v>
      </c>
      <c r="AB48" s="61">
        <f t="shared" si="6"/>
        <v>5.01815167923146</v>
      </c>
      <c r="AC48" s="63">
        <f t="shared" si="6"/>
        <v>4.9883013980405462</v>
      </c>
      <c r="AD48" s="73">
        <f t="shared" si="6"/>
        <v>4.858974587124413</v>
      </c>
      <c r="AE48" s="69">
        <f t="shared" si="6"/>
        <v>4.8298228428867596</v>
      </c>
      <c r="AF48" s="61">
        <f t="shared" si="6"/>
        <v>4.718246856221457</v>
      </c>
      <c r="AG48" s="63">
        <f t="shared" si="6"/>
        <v>4.6897390257324227</v>
      </c>
      <c r="AH48" s="73">
        <f t="shared" si="6"/>
        <v>4.5925244088129658</v>
      </c>
      <c r="AI48" s="63">
        <f t="shared" si="6"/>
        <v>4.5646115327040162</v>
      </c>
    </row>
    <row r="49" spans="3:35" ht="18" hidden="1" customHeight="1" x14ac:dyDescent="0.3">
      <c r="C49" s="44"/>
      <c r="D49" s="45"/>
      <c r="E49" s="46"/>
      <c r="F49" s="6"/>
      <c r="G49" s="7"/>
      <c r="H49" s="7"/>
      <c r="P49" s="184"/>
      <c r="Q49" s="49">
        <v>65</v>
      </c>
      <c r="R49" s="61">
        <f t="shared" si="5"/>
        <v>6.1551076332371801</v>
      </c>
      <c r="S49" s="69">
        <f t="shared" si="5"/>
        <v>6.1250149953174642</v>
      </c>
      <c r="T49" s="61">
        <f t="shared" si="5"/>
        <v>5.7758096863408159</v>
      </c>
      <c r="U49" s="63">
        <f t="shared" si="5"/>
        <v>5.7466528698313191</v>
      </c>
      <c r="V49" s="73">
        <f t="shared" si="5"/>
        <v>5.4755247395207398</v>
      </c>
      <c r="W49" s="69">
        <f t="shared" si="5"/>
        <v>5.4472710628930994</v>
      </c>
      <c r="X49" s="61">
        <f t="shared" si="5"/>
        <v>5.2293158403201652</v>
      </c>
      <c r="Y49" s="63">
        <f t="shared" si="5"/>
        <v>5.2018984787290208</v>
      </c>
      <c r="Z49" s="73">
        <f t="shared" si="5"/>
        <v>5.0221573376238249</v>
      </c>
      <c r="AA49" s="69">
        <f t="shared" si="5"/>
        <v>4.9955045059495662</v>
      </c>
      <c r="AB49" s="61">
        <f t="shared" si="6"/>
        <v>4.8443565643260209</v>
      </c>
      <c r="AC49" s="63">
        <f t="shared" si="6"/>
        <v>4.81840075943449</v>
      </c>
      <c r="AD49" s="73">
        <f t="shared" si="6"/>
        <v>4.6893288538572397</v>
      </c>
      <c r="AE49" s="69">
        <f t="shared" si="6"/>
        <v>4.6640094134497039</v>
      </c>
      <c r="AF49" s="61">
        <f t="shared" si="6"/>
        <v>4.5524151614443671</v>
      </c>
      <c r="AG49" s="63">
        <f t="shared" si="6"/>
        <v>4.5276784821932035</v>
      </c>
      <c r="AH49" s="73">
        <f t="shared" si="6"/>
        <v>4.4302088014844063</v>
      </c>
      <c r="AI49" s="63">
        <f t="shared" si="6"/>
        <v>4.4060077664874164</v>
      </c>
    </row>
    <row r="50" spans="3:35" ht="18" hidden="1" customHeight="1" x14ac:dyDescent="0.3">
      <c r="C50" s="44"/>
      <c r="D50" s="45"/>
      <c r="E50" s="46"/>
      <c r="F50" s="6"/>
      <c r="G50" s="7"/>
      <c r="H50" s="7"/>
      <c r="P50" s="184"/>
      <c r="Q50" s="50">
        <v>90</v>
      </c>
      <c r="R50" s="64">
        <f t="shared" si="5"/>
        <v>5.7467430939379813</v>
      </c>
      <c r="S50" s="70">
        <f t="shared" si="5"/>
        <v>5.7238347575616544</v>
      </c>
      <c r="T50" s="64">
        <f t="shared" si="5"/>
        <v>5.3816605685310028</v>
      </c>
      <c r="U50" s="66">
        <f t="shared" si="5"/>
        <v>5.3596419603811762</v>
      </c>
      <c r="V50" s="74">
        <f t="shared" si="5"/>
        <v>5.0946102655401884</v>
      </c>
      <c r="W50" s="70">
        <f t="shared" si="5"/>
        <v>5.0733931748874008</v>
      </c>
      <c r="X50" s="64">
        <f t="shared" si="5"/>
        <v>4.8604109188478155</v>
      </c>
      <c r="Y50" s="66">
        <f t="shared" si="5"/>
        <v>4.8399071536914242</v>
      </c>
      <c r="Z50" s="74">
        <f t="shared" si="5"/>
        <v>4.6640877079662904</v>
      </c>
      <c r="AA50" s="70">
        <f t="shared" si="5"/>
        <v>4.6442192426361313</v>
      </c>
      <c r="AB50" s="64">
        <f t="shared" si="6"/>
        <v>4.4960743275736244</v>
      </c>
      <c r="AC50" s="66">
        <f t="shared" si="6"/>
        <v>4.4767744148105457</v>
      </c>
      <c r="AD50" s="74">
        <f t="shared" si="6"/>
        <v>4.349920612592225</v>
      </c>
      <c r="AE50" s="70">
        <f t="shared" si="6"/>
        <v>4.3311325915580987</v>
      </c>
      <c r="AF50" s="64">
        <f t="shared" si="6"/>
        <v>4.2210899177808923</v>
      </c>
      <c r="AG50" s="66">
        <f t="shared" si="6"/>
        <v>4.2027656081629745</v>
      </c>
      <c r="AH50" s="74">
        <f t="shared" si="6"/>
        <v>4.1062812107948261</v>
      </c>
      <c r="AI50" s="66">
        <f t="shared" si="6"/>
        <v>4.0883794241981102</v>
      </c>
    </row>
    <row r="51" spans="3:35" ht="18" hidden="1" customHeight="1" x14ac:dyDescent="0.25">
      <c r="C51" s="44"/>
      <c r="D51" s="44"/>
      <c r="E51" s="130"/>
      <c r="F51" s="8"/>
      <c r="G51" s="7"/>
      <c r="H51" s="7"/>
      <c r="P51" s="184"/>
      <c r="Q51" s="117">
        <v>140</v>
      </c>
      <c r="R51" s="121">
        <f t="shared" si="5"/>
        <v>5.1714338436404388</v>
      </c>
      <c r="S51" s="121">
        <f t="shared" si="5"/>
        <v>5.1563785778251949</v>
      </c>
      <c r="T51" s="121">
        <f t="shared" si="5"/>
        <v>4.8313151406774519</v>
      </c>
      <c r="U51" s="121">
        <f t="shared" si="5"/>
        <v>4.816981138006966</v>
      </c>
      <c r="V51" s="121">
        <f t="shared" si="5"/>
        <v>4.5660401987166575</v>
      </c>
      <c r="W51" s="121">
        <f t="shared" si="5"/>
        <v>4.5523183451810425</v>
      </c>
      <c r="X51" s="121">
        <f t="shared" si="5"/>
        <v>4.3508430332501042</v>
      </c>
      <c r="Y51" s="121">
        <f t="shared" si="5"/>
        <v>4.3376461943501718</v>
      </c>
      <c r="Z51" s="121">
        <f t="shared" si="5"/>
        <v>4.1712195086298616</v>
      </c>
      <c r="AA51" s="121">
        <f t="shared" si="5"/>
        <v>4.1584785594024973</v>
      </c>
      <c r="AB51" s="121">
        <f t="shared" si="6"/>
        <v>4.0180076163637297</v>
      </c>
      <c r="AC51" s="121">
        <f t="shared" si="6"/>
        <v>4.0056671803421526</v>
      </c>
      <c r="AD51" s="121">
        <f t="shared" si="6"/>
        <v>3.8850828690953603</v>
      </c>
      <c r="AE51" s="121">
        <f t="shared" si="6"/>
        <v>3.8730979726208079</v>
      </c>
      <c r="AF51" s="121">
        <f t="shared" si="6"/>
        <v>3.7681670429968155</v>
      </c>
      <c r="AG51" s="121">
        <f t="shared" si="6"/>
        <v>3.7565006486394048</v>
      </c>
      <c r="AH51" s="121">
        <f t="shared" si="6"/>
        <v>3.6641643978489213</v>
      </c>
      <c r="AI51" s="121">
        <f t="shared" si="6"/>
        <v>3.652785603681151</v>
      </c>
    </row>
    <row r="52" spans="3:35" ht="18" customHeight="1" x14ac:dyDescent="0.3">
      <c r="C52" s="134">
        <v>4</v>
      </c>
      <c r="D52" s="163" t="s">
        <v>58</v>
      </c>
      <c r="E52" s="135">
        <f>1.08*((((384*$H$14*100000)/(5*$E29*E10))^(1/3))/100)</f>
        <v>5.7552627809697858</v>
      </c>
      <c r="P52" s="54" t="s">
        <v>50</v>
      </c>
    </row>
    <row r="53" spans="3:35" ht="18" customHeight="1" x14ac:dyDescent="0.25">
      <c r="D53" s="45"/>
      <c r="E53" s="42"/>
      <c r="P53" s="185" t="s">
        <v>39</v>
      </c>
      <c r="Q53" s="142">
        <v>45</v>
      </c>
      <c r="R53" s="152">
        <f>1.08*((((384*$H$14*100000)/(5*((((VLOOKUP(R$34,$I$8:$J$18,2))*$Q53)*R$33/2)+((($E$9*(1-0.088))+($E$19/$E$6))*((R$33/COS(R$34*PI()/180))/2))+$E$17)*$E$10))^(1/3))/100)</f>
        <v>6.4902150876289371</v>
      </c>
      <c r="S53" s="152">
        <f t="shared" ref="S53:AI57" si="7">1.08*((((384*$H$14*100000)/(5*((((VLOOKUP(S$34,$I$8:$J$18,2))*$Q53)*S$33/2)+((($E$9*(1-0.088))+($E$19/$E$6))*((S$33/COS(S$34*PI()/180))/2))+$E$17)*$E$10))^(1/3))/100)</f>
        <v>6.4303479488841591</v>
      </c>
      <c r="T53" s="152">
        <f t="shared" si="7"/>
        <v>6.0856492154803981</v>
      </c>
      <c r="U53" s="152">
        <f t="shared" si="7"/>
        <v>6.027833362605179</v>
      </c>
      <c r="V53" s="152">
        <f t="shared" si="7"/>
        <v>5.7661819279667954</v>
      </c>
      <c r="W53" s="152">
        <f t="shared" si="7"/>
        <v>5.7102855503399184</v>
      </c>
      <c r="X53" s="152">
        <f t="shared" si="7"/>
        <v>5.504728933213423</v>
      </c>
      <c r="Y53" s="152">
        <f t="shared" si="7"/>
        <v>5.4505793743842901</v>
      </c>
      <c r="Z53" s="152">
        <f t="shared" si="7"/>
        <v>5.2850507869308858</v>
      </c>
      <c r="AA53" s="152">
        <f t="shared" si="7"/>
        <v>5.2324801966804007</v>
      </c>
      <c r="AB53" s="152">
        <f t="shared" si="7"/>
        <v>5.0967100348405356</v>
      </c>
      <c r="AC53" s="152">
        <f t="shared" si="7"/>
        <v>5.0455675870175654</v>
      </c>
      <c r="AD53" s="152">
        <f t="shared" si="7"/>
        <v>4.9326360500326905</v>
      </c>
      <c r="AE53" s="152">
        <f t="shared" si="7"/>
        <v>4.8827897332196706</v>
      </c>
      <c r="AF53" s="152">
        <f t="shared" si="7"/>
        <v>4.7878372014888742</v>
      </c>
      <c r="AG53" s="152">
        <f t="shared" si="7"/>
        <v>4.7391723778926425</v>
      </c>
      <c r="AH53" s="152">
        <f t="shared" si="7"/>
        <v>4.6586703267420848</v>
      </c>
      <c r="AI53" s="153">
        <f t="shared" si="7"/>
        <v>4.6110874731311062</v>
      </c>
    </row>
    <row r="54" spans="3:35" ht="18" customHeight="1" x14ac:dyDescent="0.25">
      <c r="P54" s="186"/>
      <c r="Q54" s="143">
        <v>55</v>
      </c>
      <c r="R54" s="141">
        <f t="shared" ref="R54:AG57" si="8">1.08*((((384*$H$14*100000)/(5*((((VLOOKUP(R$34,$I$8:$J$18,2))*$Q54)*R$33/2)+((($E$9*(1-0.088))+($E$19/$E$6))*((R$33/COS(R$34*PI()/180))/2))+$E$17)*$E$10))^(1/3))/100)</f>
        <v>6.3158428715166899</v>
      </c>
      <c r="S54" s="141">
        <f t="shared" si="8"/>
        <v>6.262077489491082</v>
      </c>
      <c r="T54" s="141">
        <f t="shared" si="8"/>
        <v>5.9174283151033755</v>
      </c>
      <c r="U54" s="141">
        <f t="shared" si="8"/>
        <v>5.865666043911399</v>
      </c>
      <c r="V54" s="141">
        <f t="shared" si="8"/>
        <v>5.6036652860242819</v>
      </c>
      <c r="W54" s="141">
        <f t="shared" si="8"/>
        <v>5.5537300199015585</v>
      </c>
      <c r="X54" s="141">
        <f t="shared" si="8"/>
        <v>5.3473764730686293</v>
      </c>
      <c r="Y54" s="141">
        <f t="shared" si="8"/>
        <v>5.2990792357977456</v>
      </c>
      <c r="Z54" s="141">
        <f t="shared" si="8"/>
        <v>5.1323503333482021</v>
      </c>
      <c r="AA54" s="141">
        <f t="shared" si="8"/>
        <v>5.0855191835570466</v>
      </c>
      <c r="AB54" s="141">
        <f t="shared" si="8"/>
        <v>4.9482069900003518</v>
      </c>
      <c r="AC54" s="141">
        <f t="shared" si="8"/>
        <v>4.902692570945443</v>
      </c>
      <c r="AD54" s="141">
        <f t="shared" si="8"/>
        <v>4.7879354777475545</v>
      </c>
      <c r="AE54" s="141">
        <f t="shared" si="8"/>
        <v>4.7436097596739764</v>
      </c>
      <c r="AF54" s="141">
        <f t="shared" si="8"/>
        <v>4.6465978633330574</v>
      </c>
      <c r="AG54" s="141">
        <f t="shared" si="8"/>
        <v>4.6033512357258912</v>
      </c>
      <c r="AH54" s="141">
        <f t="shared" si="7"/>
        <v>4.5205970530745052</v>
      </c>
      <c r="AI54" s="154">
        <f t="shared" si="7"/>
        <v>4.4783353389856506</v>
      </c>
    </row>
    <row r="55" spans="3:35" ht="18" customHeight="1" x14ac:dyDescent="0.25">
      <c r="P55" s="186"/>
      <c r="Q55" s="143">
        <v>65</v>
      </c>
      <c r="R55" s="141">
        <f t="shared" si="8"/>
        <v>6.1588176508389747</v>
      </c>
      <c r="S55" s="141">
        <f t="shared" si="7"/>
        <v>6.1101430783826096</v>
      </c>
      <c r="T55" s="141">
        <f t="shared" si="7"/>
        <v>5.7663886838104608</v>
      </c>
      <c r="U55" s="141">
        <f t="shared" si="7"/>
        <v>5.7196516424582349</v>
      </c>
      <c r="V55" s="141">
        <f t="shared" si="7"/>
        <v>5.4580477169445016</v>
      </c>
      <c r="W55" s="141">
        <f t="shared" si="7"/>
        <v>5.4130435383069093</v>
      </c>
      <c r="X55" s="141">
        <f t="shared" si="7"/>
        <v>5.2066003913789229</v>
      </c>
      <c r="Y55" s="141">
        <f t="shared" si="7"/>
        <v>5.1631316985250431</v>
      </c>
      <c r="Z55" s="141">
        <f t="shared" si="7"/>
        <v>4.9958957743564643</v>
      </c>
      <c r="AA55" s="141">
        <f t="shared" si="7"/>
        <v>4.9537906007722636</v>
      </c>
      <c r="AB55" s="141">
        <f t="shared" si="7"/>
        <v>4.8156261316932634</v>
      </c>
      <c r="AC55" s="141">
        <f t="shared" si="7"/>
        <v>4.7747386339811593</v>
      </c>
      <c r="AD55" s="141">
        <f t="shared" si="7"/>
        <v>4.6588465178739069</v>
      </c>
      <c r="AE55" s="141">
        <f t="shared" si="7"/>
        <v>4.6190535829741242</v>
      </c>
      <c r="AF55" s="141">
        <f t="shared" si="7"/>
        <v>4.5206751567521186</v>
      </c>
      <c r="AG55" s="141">
        <f t="shared" si="7"/>
        <v>4.4818725106055499</v>
      </c>
      <c r="AH55" s="141">
        <f t="shared" si="7"/>
        <v>4.3975615834132364</v>
      </c>
      <c r="AI55" s="154">
        <f t="shared" si="7"/>
        <v>4.3596603462024754</v>
      </c>
    </row>
    <row r="56" spans="3:35" ht="18" customHeight="1" x14ac:dyDescent="0.25">
      <c r="P56" s="186"/>
      <c r="Q56" s="144">
        <v>90</v>
      </c>
      <c r="R56" s="141">
        <f t="shared" si="8"/>
        <v>5.8251571224123007</v>
      </c>
      <c r="S56" s="141">
        <f t="shared" si="7"/>
        <v>5.7861093892038884</v>
      </c>
      <c r="T56" s="141">
        <f t="shared" si="7"/>
        <v>5.4467456734107262</v>
      </c>
      <c r="U56" s="141">
        <f t="shared" si="7"/>
        <v>5.4094467005921665</v>
      </c>
      <c r="V56" s="141">
        <f t="shared" si="7"/>
        <v>5.1507466057641214</v>
      </c>
      <c r="W56" s="141">
        <f t="shared" si="7"/>
        <v>5.1149598070316111</v>
      </c>
      <c r="X56" s="141">
        <f t="shared" si="7"/>
        <v>4.9101314469666839</v>
      </c>
      <c r="Y56" s="141">
        <f t="shared" si="7"/>
        <v>4.8756570085785036</v>
      </c>
      <c r="Z56" s="141">
        <f t="shared" si="7"/>
        <v>4.7089837696874097</v>
      </c>
      <c r="AA56" s="141">
        <f t="shared" si="7"/>
        <v>4.6756582894060967</v>
      </c>
      <c r="AB56" s="141">
        <f t="shared" si="7"/>
        <v>4.5372088716706518</v>
      </c>
      <c r="AC56" s="141">
        <f t="shared" si="7"/>
        <v>4.5048989001331057</v>
      </c>
      <c r="AD56" s="141">
        <f t="shared" si="7"/>
        <v>4.3880379499484219</v>
      </c>
      <c r="AE56" s="141">
        <f t="shared" si="7"/>
        <v>4.356633645387034</v>
      </c>
      <c r="AF56" s="141">
        <f t="shared" si="7"/>
        <v>4.2567311454887511</v>
      </c>
      <c r="AG56" s="141">
        <f t="shared" si="7"/>
        <v>4.2261411502000898</v>
      </c>
      <c r="AH56" s="141">
        <f t="shared" si="7"/>
        <v>4.1398518768237826</v>
      </c>
      <c r="AI56" s="154">
        <f t="shared" si="7"/>
        <v>4.1099993842489537</v>
      </c>
    </row>
    <row r="57" spans="3:35" ht="18" customHeight="1" x14ac:dyDescent="0.25">
      <c r="P57" s="187"/>
      <c r="Q57" s="149">
        <v>140</v>
      </c>
      <c r="R57" s="155">
        <f t="shared" si="8"/>
        <v>5.326776820542575</v>
      </c>
      <c r="S57" s="155">
        <f t="shared" si="7"/>
        <v>5.2993869345496307</v>
      </c>
      <c r="T57" s="155">
        <f t="shared" si="7"/>
        <v>4.972222702342072</v>
      </c>
      <c r="U57" s="155">
        <f t="shared" si="7"/>
        <v>4.9462348461194745</v>
      </c>
      <c r="V57" s="155">
        <f t="shared" si="7"/>
        <v>4.696474382889285</v>
      </c>
      <c r="W57" s="155">
        <f t="shared" si="7"/>
        <v>4.6716552564472877</v>
      </c>
      <c r="X57" s="155">
        <f t="shared" si="7"/>
        <v>4.4732293102224299</v>
      </c>
      <c r="Y57" s="155">
        <f t="shared" si="7"/>
        <v>4.4494010053584958</v>
      </c>
      <c r="Z57" s="155">
        <f t="shared" si="7"/>
        <v>4.2871660551070336</v>
      </c>
      <c r="AA57" s="155">
        <f t="shared" si="7"/>
        <v>4.2641911585176482</v>
      </c>
      <c r="AB57" s="155">
        <f t="shared" si="7"/>
        <v>4.1286442549575346</v>
      </c>
      <c r="AC57" s="155">
        <f t="shared" si="7"/>
        <v>4.1064146049361199</v>
      </c>
      <c r="AD57" s="155">
        <f t="shared" si="7"/>
        <v>3.991238954419257</v>
      </c>
      <c r="AE57" s="155">
        <f t="shared" si="7"/>
        <v>3.9696678016839537</v>
      </c>
      <c r="AF57" s="155">
        <f t="shared" si="7"/>
        <v>3.8704726577101658</v>
      </c>
      <c r="AG57" s="155">
        <f t="shared" si="7"/>
        <v>3.8494892292284613</v>
      </c>
      <c r="AH57" s="155">
        <f t="shared" si="7"/>
        <v>3.763111644971564</v>
      </c>
      <c r="AI57" s="156">
        <f t="shared" si="7"/>
        <v>3.7426573224859361</v>
      </c>
    </row>
    <row r="58" spans="3:35" ht="18" customHeight="1" x14ac:dyDescent="0.25"/>
    <row r="59" spans="3:35" ht="18" customHeight="1" x14ac:dyDescent="0.25"/>
    <row r="60" spans="3:35" ht="18" customHeight="1" x14ac:dyDescent="0.25"/>
    <row r="61" spans="3:35" ht="18" customHeight="1" x14ac:dyDescent="0.25"/>
    <row r="62" spans="3:35" ht="18" customHeight="1" x14ac:dyDescent="0.25"/>
    <row r="63" spans="3:35" ht="18" customHeight="1" x14ac:dyDescent="0.25"/>
    <row r="64" spans="3:35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</sheetData>
  <sheetProtection algorithmName="SHA-512" hashValue="s80JFRNGFv/cxTX2lo5MSWbLl1W5aRXjKsGJrRxvKfaRWCC2s1YeBzeGCagXmp9mhIDK3B0LsYJ3nbC2NwlHmg==" saltValue="NcDzUSOR3Q1SDtiytRb0vA==" spinCount="100000" sheet="1" objects="1" scenarios="1"/>
  <mergeCells count="14">
    <mergeCell ref="P35:P39"/>
    <mergeCell ref="P41:P45"/>
    <mergeCell ref="P47:P51"/>
    <mergeCell ref="P53:P57"/>
    <mergeCell ref="B2:E2"/>
    <mergeCell ref="I4:K4"/>
    <mergeCell ref="I22:K22"/>
    <mergeCell ref="D32:E32"/>
    <mergeCell ref="I23:K23"/>
    <mergeCell ref="C22:C23"/>
    <mergeCell ref="C24:C25"/>
    <mergeCell ref="C26:C27"/>
    <mergeCell ref="C28:C29"/>
    <mergeCell ref="C31:D31"/>
  </mergeCells>
  <conditionalFormatting sqref="E33:E51">
    <cfRule type="cellIs" dxfId="2" priority="1" stopIfTrue="1" operator="greaterThan">
      <formula>$E$31</formula>
    </cfRule>
  </conditionalFormatting>
  <pageMargins left="0.39370078740157483" right="0" top="0.39370078740157483" bottom="0" header="0" footer="0"/>
  <pageSetup paperSize="8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I74"/>
  <sheetViews>
    <sheetView zoomScaleNormal="100" workbookViewId="0">
      <selection activeCell="D57" sqref="D57"/>
    </sheetView>
  </sheetViews>
  <sheetFormatPr baseColWidth="10" defaultRowHeight="13.2" x14ac:dyDescent="0.25"/>
  <cols>
    <col min="1" max="1" width="1.6640625" customWidth="1"/>
    <col min="2" max="2" width="35.77734375" customWidth="1"/>
    <col min="3" max="3" width="2.21875" hidden="1" customWidth="1"/>
    <col min="4" max="4" width="52.109375" bestFit="1" customWidth="1"/>
    <col min="5" max="5" width="13.6640625" customWidth="1"/>
    <col min="6" max="6" width="1.77734375" customWidth="1"/>
    <col min="7" max="7" width="28.88671875" hidden="1" customWidth="1"/>
    <col min="8" max="8" width="7" hidden="1" customWidth="1"/>
    <col min="9" max="9" width="14.77734375" hidden="1" customWidth="1"/>
    <col min="10" max="10" width="13.6640625" hidden="1" customWidth="1"/>
    <col min="11" max="11" width="7.77734375" hidden="1" customWidth="1"/>
    <col min="12" max="14" width="8.6640625" hidden="1" customWidth="1"/>
    <col min="15" max="17" width="5.77734375" hidden="1" customWidth="1"/>
    <col min="18" max="35" width="6.77734375" hidden="1" customWidth="1"/>
  </cols>
  <sheetData>
    <row r="1" spans="1:15" ht="12.9" customHeight="1" x14ac:dyDescent="0.25">
      <c r="B1" s="191" t="s">
        <v>68</v>
      </c>
    </row>
    <row r="2" spans="1:15" ht="17.399999999999999" x14ac:dyDescent="0.25">
      <c r="B2" s="172" t="s">
        <v>55</v>
      </c>
      <c r="C2" s="173"/>
      <c r="D2" s="173"/>
      <c r="E2" s="173"/>
    </row>
    <row r="3" spans="1:15" ht="5.0999999999999996" customHeight="1" x14ac:dyDescent="0.25"/>
    <row r="4" spans="1:15" ht="18" customHeight="1" x14ac:dyDescent="0.25">
      <c r="B4" s="36" t="s">
        <v>28</v>
      </c>
      <c r="D4" s="77" t="s">
        <v>11</v>
      </c>
      <c r="E4" s="78">
        <v>3</v>
      </c>
      <c r="G4" s="37" t="s">
        <v>32</v>
      </c>
      <c r="H4" s="38">
        <f>E4/COS(E7*PI()/180)</f>
        <v>3.0114595126300423</v>
      </c>
      <c r="I4" s="167" t="s">
        <v>37</v>
      </c>
      <c r="J4" s="168"/>
      <c r="K4" s="169"/>
    </row>
    <row r="5" spans="1:15" ht="18" hidden="1" customHeight="1" x14ac:dyDescent="0.25">
      <c r="A5">
        <v>0</v>
      </c>
      <c r="D5" s="77" t="s">
        <v>9</v>
      </c>
      <c r="E5" s="78">
        <v>0</v>
      </c>
    </row>
    <row r="6" spans="1:15" ht="18" customHeight="1" thickBot="1" x14ac:dyDescent="0.35">
      <c r="B6" s="15" t="s">
        <v>19</v>
      </c>
      <c r="D6" s="77" t="s">
        <v>10</v>
      </c>
      <c r="E6" s="78">
        <v>1.2</v>
      </c>
      <c r="I6" s="175"/>
      <c r="J6" s="175"/>
      <c r="L6" s="158"/>
      <c r="M6" s="159"/>
      <c r="N6" s="159"/>
    </row>
    <row r="7" spans="1:15" ht="18" customHeight="1" x14ac:dyDescent="0.25">
      <c r="B7" s="15" t="s">
        <v>18</v>
      </c>
      <c r="D7" s="77" t="s">
        <v>12</v>
      </c>
      <c r="E7" s="79">
        <v>5</v>
      </c>
      <c r="I7" s="34" t="s">
        <v>2</v>
      </c>
      <c r="J7" s="35" t="s">
        <v>23</v>
      </c>
      <c r="L7" s="158"/>
      <c r="M7" s="158"/>
      <c r="N7" s="158"/>
    </row>
    <row r="8" spans="1:15" ht="18" customHeight="1" x14ac:dyDescent="0.25">
      <c r="B8" s="15" t="s">
        <v>60</v>
      </c>
      <c r="D8" s="77" t="s">
        <v>0</v>
      </c>
      <c r="E8" s="79">
        <v>45</v>
      </c>
      <c r="I8" s="18">
        <v>5</v>
      </c>
      <c r="J8" s="19">
        <v>0.8</v>
      </c>
      <c r="L8" s="160"/>
      <c r="M8" s="160"/>
      <c r="N8" s="160"/>
      <c r="O8" s="14"/>
    </row>
    <row r="9" spans="1:15" ht="18" customHeight="1" x14ac:dyDescent="0.25">
      <c r="B9" s="162" t="s">
        <v>53</v>
      </c>
      <c r="D9" s="77" t="s">
        <v>1</v>
      </c>
      <c r="E9" s="79">
        <v>5</v>
      </c>
      <c r="I9" s="18">
        <v>10</v>
      </c>
      <c r="J9" s="19">
        <v>0.8</v>
      </c>
      <c r="O9" s="14"/>
    </row>
    <row r="10" spans="1:15" ht="18" hidden="1" customHeight="1" x14ac:dyDescent="0.25">
      <c r="D10" s="77" t="s">
        <v>17</v>
      </c>
      <c r="E10" s="79">
        <v>200</v>
      </c>
      <c r="I10" s="18">
        <v>15</v>
      </c>
      <c r="J10" s="19">
        <v>0.8</v>
      </c>
      <c r="O10" s="14"/>
    </row>
    <row r="11" spans="1:15" ht="18" hidden="1" customHeight="1" x14ac:dyDescent="0.25">
      <c r="D11" s="75"/>
      <c r="E11" s="76"/>
      <c r="I11" s="18">
        <v>20</v>
      </c>
      <c r="J11" s="19">
        <v>0.8</v>
      </c>
      <c r="O11" s="14"/>
    </row>
    <row r="12" spans="1:15" ht="18" hidden="1" customHeight="1" x14ac:dyDescent="0.25">
      <c r="D12" s="80"/>
      <c r="E12" s="76"/>
      <c r="I12" s="18">
        <v>25</v>
      </c>
      <c r="J12" s="19">
        <v>0.8</v>
      </c>
      <c r="O12" s="14"/>
    </row>
    <row r="13" spans="1:15" ht="18" hidden="1" customHeight="1" x14ac:dyDescent="0.25">
      <c r="D13" s="11" t="s">
        <v>29</v>
      </c>
      <c r="E13" s="81">
        <v>326.69</v>
      </c>
      <c r="G13" s="37" t="s">
        <v>30</v>
      </c>
      <c r="H13">
        <f>70000000000*(E13/100000000)</f>
        <v>228683</v>
      </c>
      <c r="I13" s="18">
        <v>30</v>
      </c>
      <c r="J13" s="19">
        <f t="shared" ref="J13:J18" si="0">0.8*(60-$I13)/30</f>
        <v>0.8</v>
      </c>
    </row>
    <row r="14" spans="1:15" ht="18" hidden="1" customHeight="1" x14ac:dyDescent="0.25">
      <c r="D14" s="11" t="s">
        <v>20</v>
      </c>
      <c r="E14" s="10">
        <v>144</v>
      </c>
      <c r="G14" s="37" t="s">
        <v>31</v>
      </c>
      <c r="H14">
        <f>(210000000000*(E14/100000000))+H13</f>
        <v>531083</v>
      </c>
      <c r="I14" s="18">
        <v>31</v>
      </c>
      <c r="J14" s="19">
        <f t="shared" si="0"/>
        <v>0.77333333333333343</v>
      </c>
    </row>
    <row r="15" spans="1:15" ht="18" hidden="1" customHeight="1" x14ac:dyDescent="0.25">
      <c r="D15" s="11" t="s">
        <v>16</v>
      </c>
      <c r="E15" s="10">
        <f>ROUND(E5/E6,0)</f>
        <v>0</v>
      </c>
      <c r="I15" s="18">
        <v>32</v>
      </c>
      <c r="J15" s="19">
        <f t="shared" si="0"/>
        <v>0.7466666666666667</v>
      </c>
    </row>
    <row r="16" spans="1:15" ht="18" hidden="1" customHeight="1" x14ac:dyDescent="0.25">
      <c r="D16" s="1" t="s">
        <v>14</v>
      </c>
      <c r="E16" s="9">
        <v>4.492</v>
      </c>
      <c r="I16" s="18">
        <v>33</v>
      </c>
      <c r="J16" s="19">
        <f t="shared" si="0"/>
        <v>0.72000000000000008</v>
      </c>
    </row>
    <row r="17" spans="3:16" ht="18" hidden="1" customHeight="1" x14ac:dyDescent="0.25">
      <c r="D17" s="1" t="s">
        <v>15</v>
      </c>
      <c r="E17" s="9">
        <v>13.912000000000001</v>
      </c>
      <c r="I17" s="20">
        <v>34</v>
      </c>
      <c r="J17" s="19">
        <f t="shared" si="0"/>
        <v>0.69333333333333336</v>
      </c>
    </row>
    <row r="18" spans="3:16" ht="18" hidden="1" customHeight="1" thickBot="1" x14ac:dyDescent="0.3">
      <c r="D18" s="1" t="s">
        <v>3</v>
      </c>
      <c r="E18" s="9">
        <v>2.2549999999999999</v>
      </c>
      <c r="I18" s="21">
        <v>35</v>
      </c>
      <c r="J18" s="22">
        <f t="shared" si="0"/>
        <v>0.66666666666666663</v>
      </c>
    </row>
    <row r="19" spans="3:16" ht="18" hidden="1" customHeight="1" x14ac:dyDescent="0.25">
      <c r="D19" s="1" t="s">
        <v>4</v>
      </c>
      <c r="E19" s="9">
        <v>8.5660000000000007</v>
      </c>
      <c r="I19" s="23" t="s">
        <v>21</v>
      </c>
      <c r="J19" s="24">
        <f>VLOOKUP(E7,$I$8:$J$18,2)</f>
        <v>0.8</v>
      </c>
    </row>
    <row r="20" spans="3:16" ht="18" hidden="1" customHeight="1" x14ac:dyDescent="0.25">
      <c r="D20" s="39"/>
      <c r="E20" s="40"/>
      <c r="F20" s="4"/>
      <c r="G20" s="4"/>
      <c r="H20" s="4"/>
      <c r="I20" s="25" t="s">
        <v>27</v>
      </c>
      <c r="J20" s="26">
        <f>$J$19*$E$8</f>
        <v>36</v>
      </c>
    </row>
    <row r="21" spans="3:16" ht="18" hidden="1" customHeight="1" thickBot="1" x14ac:dyDescent="0.3">
      <c r="D21" s="12"/>
      <c r="E21" s="5"/>
      <c r="F21" s="4"/>
      <c r="G21" s="4"/>
      <c r="H21" s="4"/>
      <c r="I21" s="27" t="s">
        <v>22</v>
      </c>
      <c r="J21" s="28">
        <f>E5-(0.041*2)-(0.022*E15)</f>
        <v>-8.2000000000000003E-2</v>
      </c>
    </row>
    <row r="22" spans="3:16" s="3" customFormat="1" ht="18" hidden="1" customHeight="1" x14ac:dyDescent="0.25">
      <c r="C22" s="170">
        <v>1</v>
      </c>
      <c r="D22" s="2"/>
      <c r="E22" s="13"/>
      <c r="F22" s="5"/>
      <c r="G22" s="5"/>
      <c r="H22" s="5"/>
      <c r="I22" s="174" t="s">
        <v>25</v>
      </c>
      <c r="J22" s="174"/>
      <c r="K22" s="174"/>
    </row>
    <row r="23" spans="3:16" ht="18" hidden="1" customHeight="1" x14ac:dyDescent="0.25">
      <c r="C23" s="171"/>
      <c r="D23" s="1" t="s">
        <v>5</v>
      </c>
      <c r="E23" s="13">
        <f>($J$20*E4/2)+(((E9*(1-0.088))+($E$18/$E$6))*(H4/2))+$E$16</f>
        <v>68.18764485587181</v>
      </c>
      <c r="F23" s="4"/>
      <c r="G23" s="43"/>
      <c r="H23" s="4"/>
      <c r="I23" s="176" t="s">
        <v>26</v>
      </c>
      <c r="J23" s="177"/>
      <c r="K23" s="177"/>
    </row>
    <row r="24" spans="3:16" ht="18" hidden="1" customHeight="1" x14ac:dyDescent="0.25">
      <c r="C24" s="178">
        <v>2</v>
      </c>
      <c r="D24" s="1"/>
      <c r="E24" s="13"/>
      <c r="F24" s="4"/>
      <c r="G24" s="4"/>
      <c r="H24" s="4"/>
    </row>
    <row r="25" spans="3:16" ht="18" hidden="1" customHeight="1" x14ac:dyDescent="0.25">
      <c r="C25" s="171"/>
      <c r="D25" s="1" t="s">
        <v>7</v>
      </c>
      <c r="E25" s="13">
        <f>($J$20*E4/2)+(((E9*(1-0.088))+(E19/E6))*(H4/2))+E16</f>
        <v>76.106528599291892</v>
      </c>
      <c r="F25" s="4"/>
      <c r="G25" s="4"/>
      <c r="H25" s="4"/>
    </row>
    <row r="26" spans="3:16" ht="18" hidden="1" customHeight="1" x14ac:dyDescent="0.25">
      <c r="C26" s="178">
        <v>3</v>
      </c>
      <c r="D26" s="1"/>
      <c r="E26" s="13"/>
      <c r="F26" s="4"/>
      <c r="G26" s="4"/>
      <c r="H26" s="4"/>
    </row>
    <row r="27" spans="3:16" ht="18" hidden="1" customHeight="1" x14ac:dyDescent="0.25">
      <c r="C27" s="171"/>
      <c r="D27" s="1" t="s">
        <v>6</v>
      </c>
      <c r="E27" s="13">
        <f>($J$20*E4/2)+(((E9*(1-0.088))+(E18/E6))*(H4/2))+E17</f>
        <v>77.607644855871811</v>
      </c>
      <c r="F27" s="4"/>
      <c r="G27" s="4"/>
      <c r="H27" s="4"/>
    </row>
    <row r="28" spans="3:16" ht="18" hidden="1" customHeight="1" x14ac:dyDescent="0.25">
      <c r="C28" s="178">
        <v>4</v>
      </c>
      <c r="D28" s="1"/>
      <c r="E28" s="13"/>
      <c r="F28" s="4"/>
      <c r="G28" s="4"/>
      <c r="H28" s="4"/>
    </row>
    <row r="29" spans="3:16" ht="18" hidden="1" customHeight="1" x14ac:dyDescent="0.25">
      <c r="C29" s="171"/>
      <c r="D29" s="1" t="s">
        <v>8</v>
      </c>
      <c r="E29" s="13">
        <f>($J$20*E4/2)+(((E9*(1-0.088))+(E19/E6))*(H4/2))+E17</f>
        <v>85.526528599291893</v>
      </c>
      <c r="F29" s="4"/>
      <c r="G29" s="4"/>
      <c r="H29" s="4"/>
    </row>
    <row r="30" spans="3:16" ht="18" hidden="1" customHeight="1" x14ac:dyDescent="0.25">
      <c r="D30" s="12"/>
      <c r="E30" s="5"/>
      <c r="F30" s="4"/>
      <c r="G30" s="4"/>
      <c r="H30" s="4"/>
    </row>
    <row r="31" spans="3:16" ht="18" customHeight="1" x14ac:dyDescent="0.3">
      <c r="C31" s="181"/>
      <c r="D31" s="182"/>
      <c r="E31" s="128"/>
      <c r="F31" s="4"/>
      <c r="G31" s="4"/>
      <c r="H31" s="4"/>
    </row>
    <row r="32" spans="3:16" ht="25.05" hidden="1" customHeight="1" x14ac:dyDescent="0.25">
      <c r="D32" s="179"/>
      <c r="E32" s="180"/>
      <c r="F32" s="4"/>
      <c r="G32" s="4"/>
      <c r="H32" s="4"/>
      <c r="P32" s="84" t="s">
        <v>62</v>
      </c>
    </row>
    <row r="33" spans="3:35" ht="18" hidden="1" customHeight="1" x14ac:dyDescent="0.3">
      <c r="C33" s="44"/>
      <c r="D33" s="44"/>
      <c r="E33" s="130"/>
      <c r="F33" s="6"/>
      <c r="H33" s="7"/>
      <c r="P33" s="106" t="s">
        <v>38</v>
      </c>
      <c r="Q33" s="107"/>
      <c r="R33" s="51">
        <v>2</v>
      </c>
      <c r="S33" s="52">
        <v>2</v>
      </c>
      <c r="T33" s="51">
        <v>2.5</v>
      </c>
      <c r="U33" s="53">
        <v>2.5</v>
      </c>
      <c r="V33" s="52">
        <v>3</v>
      </c>
      <c r="W33" s="52">
        <v>3</v>
      </c>
      <c r="X33" s="51">
        <v>3.5</v>
      </c>
      <c r="Y33" s="53">
        <v>3.5</v>
      </c>
      <c r="Z33" s="52">
        <v>4</v>
      </c>
      <c r="AA33" s="52">
        <v>4</v>
      </c>
      <c r="AB33" s="51">
        <v>4.5</v>
      </c>
      <c r="AC33" s="53">
        <v>4.5</v>
      </c>
      <c r="AD33" s="52">
        <v>5</v>
      </c>
      <c r="AE33" s="52">
        <v>5</v>
      </c>
      <c r="AF33" s="51">
        <v>5.5</v>
      </c>
      <c r="AG33" s="52">
        <v>5.5</v>
      </c>
      <c r="AH33" s="51">
        <v>6</v>
      </c>
      <c r="AI33" s="53">
        <v>6</v>
      </c>
    </row>
    <row r="34" spans="3:35" ht="18" hidden="1" customHeight="1" x14ac:dyDescent="0.3">
      <c r="C34" s="133">
        <v>1</v>
      </c>
      <c r="D34" s="136" t="s">
        <v>33</v>
      </c>
      <c r="E34" s="132">
        <f>(((384*$H$13*100000)/(5*$E23*$E$10))^(1/3))/100</f>
        <v>5.0499429468420001</v>
      </c>
      <c r="F34" s="6"/>
      <c r="G34" s="7"/>
      <c r="H34" s="7"/>
      <c r="P34" s="108" t="s">
        <v>2</v>
      </c>
      <c r="Q34" s="109"/>
      <c r="R34" s="55">
        <v>5</v>
      </c>
      <c r="S34" s="67">
        <v>20</v>
      </c>
      <c r="T34" s="55">
        <v>5</v>
      </c>
      <c r="U34" s="57">
        <v>20</v>
      </c>
      <c r="V34" s="71">
        <v>5</v>
      </c>
      <c r="W34" s="67">
        <v>20</v>
      </c>
      <c r="X34" s="55">
        <v>5</v>
      </c>
      <c r="Y34" s="57">
        <v>20</v>
      </c>
      <c r="Z34" s="71">
        <v>5</v>
      </c>
      <c r="AA34" s="67">
        <v>20</v>
      </c>
      <c r="AB34" s="55">
        <v>5</v>
      </c>
      <c r="AC34" s="57">
        <v>20</v>
      </c>
      <c r="AD34" s="71">
        <v>5</v>
      </c>
      <c r="AE34" s="56">
        <v>20</v>
      </c>
      <c r="AF34" s="56">
        <v>5</v>
      </c>
      <c r="AG34" s="67">
        <v>20</v>
      </c>
      <c r="AH34" s="55">
        <v>5</v>
      </c>
      <c r="AI34" s="57">
        <v>20</v>
      </c>
    </row>
    <row r="35" spans="3:35" ht="18" hidden="1" customHeight="1" x14ac:dyDescent="0.3">
      <c r="C35" s="44"/>
      <c r="D35" s="137" t="s">
        <v>56</v>
      </c>
      <c r="E35" s="46"/>
      <c r="F35" s="6"/>
      <c r="G35" s="7"/>
      <c r="H35" s="7"/>
      <c r="P35" s="183" t="s">
        <v>39</v>
      </c>
      <c r="Q35" s="48">
        <v>45</v>
      </c>
      <c r="R35" s="85">
        <f>(((384*$H$13*100000)/(5*((((VLOOKUP(R$34,$I$8:$J$18,2))*$Q35)*R$33/2)+((($E$9*(1-0.088))+($E$18/$E$6))*((R$33/COS(R$34*PI()/180))/2))+$E$16)*$E$10))^(1/3))/100</f>
        <v>5.718630905924913</v>
      </c>
      <c r="S35" s="86">
        <f t="shared" ref="R35:AA39" si="1">(((384*$H$13*100000)/(5*((((VLOOKUP(S$34,$I$8:$J$18,2))*$Q35)*S$33/2)+((($E$9*(1-0.088))+($E$18/$E$6))*((S$33/COS(S$34*PI()/180))/2))+$E$16)*$E$10))^(1/3))/100</f>
        <v>5.7029396296734696</v>
      </c>
      <c r="T35" s="85">
        <f t="shared" si="1"/>
        <v>5.3430020444767594</v>
      </c>
      <c r="U35" s="87">
        <f t="shared" si="1"/>
        <v>5.3280570770142308</v>
      </c>
      <c r="V35" s="88">
        <f t="shared" si="1"/>
        <v>5.0499429468420001</v>
      </c>
      <c r="W35" s="86">
        <f t="shared" si="1"/>
        <v>5.0356326449491986</v>
      </c>
      <c r="X35" s="85">
        <f t="shared" si="1"/>
        <v>4.8121561216824542</v>
      </c>
      <c r="Y35" s="87">
        <f t="shared" si="1"/>
        <v>4.7983908370727253</v>
      </c>
      <c r="Z35" s="88">
        <f t="shared" si="1"/>
        <v>4.6136457662841863</v>
      </c>
      <c r="AA35" s="86">
        <f t="shared" si="1"/>
        <v>4.6003541591279449</v>
      </c>
      <c r="AB35" s="85">
        <f t="shared" ref="AB35:AI39" si="2">(((384*$H$13*100000)/(5*((((VLOOKUP(AB$34,$I$8:$J$18,2))*$Q35)*AB$33/2)+((($E$9*(1-0.088))+($E$18/$E$6))*((AB$33/COS(AB$34*PI()/180))/2))+$E$16)*$E$10))^(1/3))/100</f>
        <v>4.4443034072662986</v>
      </c>
      <c r="AC35" s="87">
        <f t="shared" si="2"/>
        <v>4.4314282122766411</v>
      </c>
      <c r="AD35" s="88">
        <f t="shared" si="2"/>
        <v>4.2973697272469451</v>
      </c>
      <c r="AE35" s="89">
        <f t="shared" si="2"/>
        <v>4.284864371302298</v>
      </c>
      <c r="AF35" s="89">
        <f t="shared" si="2"/>
        <v>4.1681218574366685</v>
      </c>
      <c r="AG35" s="86">
        <f t="shared" si="2"/>
        <v>4.1559479457414898</v>
      </c>
      <c r="AH35" s="85">
        <f t="shared" si="2"/>
        <v>4.0531416130852849</v>
      </c>
      <c r="AI35" s="87">
        <f t="shared" si="2"/>
        <v>4.0412670852364698</v>
      </c>
    </row>
    <row r="36" spans="3:35" ht="18" hidden="1" customHeight="1" x14ac:dyDescent="0.3">
      <c r="C36" s="44"/>
      <c r="D36" s="45"/>
      <c r="E36" s="46"/>
      <c r="F36" s="6"/>
      <c r="G36" s="7"/>
      <c r="H36" s="7"/>
      <c r="P36" s="188"/>
      <c r="Q36" s="49">
        <v>55</v>
      </c>
      <c r="R36" s="90">
        <f t="shared" si="1"/>
        <v>5.4264685103500119</v>
      </c>
      <c r="S36" s="91">
        <f t="shared" si="1"/>
        <v>5.4137362461746772</v>
      </c>
      <c r="T36" s="90">
        <f t="shared" si="1"/>
        <v>5.0652405853506863</v>
      </c>
      <c r="U36" s="92">
        <f t="shared" si="1"/>
        <v>5.0531593039000917</v>
      </c>
      <c r="V36" s="93">
        <f t="shared" si="1"/>
        <v>4.7843089381912769</v>
      </c>
      <c r="W36" s="91">
        <f t="shared" si="1"/>
        <v>4.7727704841224643</v>
      </c>
      <c r="X36" s="90">
        <f t="shared" si="1"/>
        <v>4.5568715098257089</v>
      </c>
      <c r="Y36" s="92">
        <f t="shared" si="1"/>
        <v>4.5457933452495194</v>
      </c>
      <c r="Z36" s="93">
        <f t="shared" si="1"/>
        <v>4.3673166503408227</v>
      </c>
      <c r="AA36" s="91">
        <f t="shared" si="1"/>
        <v>4.3566349959869255</v>
      </c>
      <c r="AB36" s="90">
        <f t="shared" si="2"/>
        <v>4.2058217301200029</v>
      </c>
      <c r="AC36" s="92">
        <f t="shared" si="2"/>
        <v>4.1954863686489032</v>
      </c>
      <c r="AD36" s="93">
        <f t="shared" si="2"/>
        <v>4.0658404933353696</v>
      </c>
      <c r="AE36" s="94">
        <f t="shared" si="2"/>
        <v>4.0558111401432004</v>
      </c>
      <c r="AF36" s="94">
        <f t="shared" si="2"/>
        <v>3.9428110066258268</v>
      </c>
      <c r="AG36" s="91">
        <f t="shared" si="2"/>
        <v>3.9330547908351705</v>
      </c>
      <c r="AH36" s="90">
        <f t="shared" si="2"/>
        <v>3.8334386239124472</v>
      </c>
      <c r="AI36" s="92">
        <f t="shared" si="2"/>
        <v>3.8239283165388072</v>
      </c>
    </row>
    <row r="37" spans="3:35" ht="18" hidden="1" customHeight="1" x14ac:dyDescent="0.3">
      <c r="C37" s="44"/>
      <c r="D37" s="45"/>
      <c r="E37" s="46"/>
      <c r="F37" s="6"/>
      <c r="G37" s="7"/>
      <c r="H37" s="7"/>
      <c r="P37" s="188"/>
      <c r="Q37" s="49">
        <v>65</v>
      </c>
      <c r="R37" s="90">
        <f t="shared" si="1"/>
        <v>5.1861276712209516</v>
      </c>
      <c r="S37" s="91">
        <f t="shared" si="1"/>
        <v>5.1754992690226747</v>
      </c>
      <c r="T37" s="90">
        <f t="shared" si="1"/>
        <v>4.8374956905749995</v>
      </c>
      <c r="U37" s="92">
        <f t="shared" si="1"/>
        <v>4.8274388443758047</v>
      </c>
      <c r="V37" s="93">
        <f t="shared" si="1"/>
        <v>4.5669977229134933</v>
      </c>
      <c r="W37" s="91">
        <f t="shared" si="1"/>
        <v>4.5574110855941408</v>
      </c>
      <c r="X37" s="90">
        <f t="shared" si="1"/>
        <v>4.3483693308752835</v>
      </c>
      <c r="Y37" s="92">
        <f t="shared" si="1"/>
        <v>4.3391779060336093</v>
      </c>
      <c r="Z37" s="93">
        <f t="shared" si="1"/>
        <v>4.1663797987005715</v>
      </c>
      <c r="AA37" s="91">
        <f t="shared" si="1"/>
        <v>4.157526709725043</v>
      </c>
      <c r="AB37" s="90">
        <f t="shared" si="2"/>
        <v>4.0114771016868263</v>
      </c>
      <c r="AC37" s="92">
        <f t="shared" si="2"/>
        <v>4.002918130054665</v>
      </c>
      <c r="AD37" s="93">
        <f t="shared" si="2"/>
        <v>3.87731099476912</v>
      </c>
      <c r="AE37" s="94">
        <f t="shared" si="2"/>
        <v>3.8690109922694593</v>
      </c>
      <c r="AF37" s="94">
        <f t="shared" si="2"/>
        <v>3.7594647312296656</v>
      </c>
      <c r="AG37" s="91">
        <f t="shared" si="2"/>
        <v>3.7513952173152281</v>
      </c>
      <c r="AH37" s="90">
        <f t="shared" si="2"/>
        <v>3.6547535333401151</v>
      </c>
      <c r="AI37" s="92">
        <f t="shared" si="2"/>
        <v>3.6468910447505483</v>
      </c>
    </row>
    <row r="38" spans="3:35" ht="18" hidden="1" customHeight="1" x14ac:dyDescent="0.3">
      <c r="C38" s="44"/>
      <c r="D38" s="45"/>
      <c r="E38" s="46"/>
      <c r="F38" s="6"/>
      <c r="G38" s="7"/>
      <c r="H38" s="7"/>
      <c r="P38" s="188"/>
      <c r="Q38" s="50">
        <v>90</v>
      </c>
      <c r="R38" s="95">
        <f t="shared" si="1"/>
        <v>4.7304905650494344</v>
      </c>
      <c r="S38" s="96">
        <f t="shared" si="1"/>
        <v>4.7231259721231327</v>
      </c>
      <c r="T38" s="95">
        <f t="shared" si="1"/>
        <v>4.4073666209637317</v>
      </c>
      <c r="U38" s="97">
        <f t="shared" si="1"/>
        <v>4.4004301917196722</v>
      </c>
      <c r="V38" s="98">
        <f t="shared" si="1"/>
        <v>4.1576309532192681</v>
      </c>
      <c r="W38" s="96">
        <f t="shared" si="1"/>
        <v>4.1510396058219436</v>
      </c>
      <c r="X38" s="95">
        <f t="shared" si="1"/>
        <v>3.9563311084192754</v>
      </c>
      <c r="Y38" s="97">
        <f t="shared" si="1"/>
        <v>3.9500258846498237</v>
      </c>
      <c r="Z38" s="98">
        <f t="shared" si="1"/>
        <v>3.7891024283734942</v>
      </c>
      <c r="AA38" s="96">
        <f t="shared" si="1"/>
        <v>3.7830397879339146</v>
      </c>
      <c r="AB38" s="95">
        <f t="shared" si="2"/>
        <v>3.6469836192668277</v>
      </c>
      <c r="AC38" s="97">
        <f t="shared" si="2"/>
        <v>3.6411303312101881</v>
      </c>
      <c r="AD38" s="98">
        <f t="shared" si="2"/>
        <v>3.5240410972494205</v>
      </c>
      <c r="AE38" s="99">
        <f t="shared" si="2"/>
        <v>3.5183711041346544</v>
      </c>
      <c r="AF38" s="99">
        <f t="shared" si="2"/>
        <v>3.4161609725922624</v>
      </c>
      <c r="AG38" s="96">
        <f t="shared" si="2"/>
        <v>3.4106533798477323</v>
      </c>
      <c r="AH38" s="95">
        <f t="shared" si="2"/>
        <v>3.3203844380745369</v>
      </c>
      <c r="AI38" s="97">
        <f t="shared" si="2"/>
        <v>3.3150221743392989</v>
      </c>
    </row>
    <row r="39" spans="3:35" ht="18" hidden="1" customHeight="1" x14ac:dyDescent="0.25">
      <c r="C39" s="44"/>
      <c r="D39" s="44"/>
      <c r="E39" s="130"/>
      <c r="F39" s="8"/>
      <c r="G39" s="7"/>
      <c r="H39" s="7"/>
      <c r="P39" s="188"/>
      <c r="Q39" s="111">
        <v>140</v>
      </c>
      <c r="R39" s="122">
        <f t="shared" si="1"/>
        <v>4.148955133529233</v>
      </c>
      <c r="S39" s="123">
        <f t="shared" si="1"/>
        <v>4.1445928013571818</v>
      </c>
      <c r="T39" s="122">
        <f t="shared" si="1"/>
        <v>3.8609754142777382</v>
      </c>
      <c r="U39" s="124">
        <f t="shared" si="1"/>
        <v>3.8568860554630309</v>
      </c>
      <c r="V39" s="125">
        <f t="shared" si="1"/>
        <v>3.6392793611596179</v>
      </c>
      <c r="W39" s="123">
        <f t="shared" si="1"/>
        <v>3.6354058450639242</v>
      </c>
      <c r="X39" s="122">
        <f t="shared" si="1"/>
        <v>3.4610717221256619</v>
      </c>
      <c r="Y39" s="124">
        <f t="shared" si="1"/>
        <v>3.4573748901897603</v>
      </c>
      <c r="Z39" s="125">
        <f t="shared" si="1"/>
        <v>3.3133265242389767</v>
      </c>
      <c r="AA39" s="123">
        <f t="shared" si="1"/>
        <v>3.3097781146644412</v>
      </c>
      <c r="AB39" s="122">
        <f t="shared" si="2"/>
        <v>3.1879609514747584</v>
      </c>
      <c r="AC39" s="124">
        <f t="shared" si="2"/>
        <v>3.1845397443861474</v>
      </c>
      <c r="AD39" s="125">
        <f t="shared" si="2"/>
        <v>3.0796447453075086</v>
      </c>
      <c r="AE39" s="126">
        <f t="shared" si="2"/>
        <v>3.0763343045616933</v>
      </c>
      <c r="AF39" s="126">
        <f t="shared" si="2"/>
        <v>2.9846940626131517</v>
      </c>
      <c r="AG39" s="123">
        <f t="shared" si="2"/>
        <v>2.9814813340279951</v>
      </c>
      <c r="AH39" s="122">
        <f t="shared" si="2"/>
        <v>2.9004661931849882</v>
      </c>
      <c r="AI39" s="124">
        <f t="shared" si="2"/>
        <v>2.8973405925750746</v>
      </c>
    </row>
    <row r="40" spans="3:35" ht="18" customHeight="1" x14ac:dyDescent="0.3">
      <c r="C40" s="133">
        <v>2</v>
      </c>
      <c r="D40" s="163" t="s">
        <v>57</v>
      </c>
      <c r="E40" s="132">
        <f>1.07*((((384*$H$13*100000)/(5*$E25*E10))^(1/3))/100)</f>
        <v>5.2091257517704133</v>
      </c>
      <c r="F40" s="8"/>
      <c r="G40" s="7"/>
      <c r="H40" s="7"/>
      <c r="P40" s="84" t="s">
        <v>63</v>
      </c>
    </row>
    <row r="41" spans="3:35" ht="18" customHeight="1" x14ac:dyDescent="0.25">
      <c r="C41" s="44"/>
      <c r="D41" s="45"/>
      <c r="E41" s="47"/>
      <c r="F41" s="8"/>
      <c r="G41" s="7"/>
      <c r="H41" s="7"/>
      <c r="P41" s="185" t="s">
        <v>39</v>
      </c>
      <c r="Q41" s="142">
        <v>45</v>
      </c>
      <c r="R41" s="146">
        <f>1.07*((((384*$H$13*100000)/(5*((((VLOOKUP(R$34,$I$8:$J$18,2))*$Q35)*R$33/2)+((($E$9*(1-0.088))+($E$19/$E$6))*((R$33/COS(R$34*PI()/180))/2))+$E$16)*$E$10))^(1/3))/100)</f>
        <v>5.9054304662702792</v>
      </c>
      <c r="S41" s="146">
        <f t="shared" ref="S41:AI45" si="3">1.07*((((384*$H$13*100000)/(5*((((VLOOKUP(S$34,$I$8:$J$18,2))*$Q35)*S$33/2)+((($E$9*(1-0.088))+($E$19/$E$6))*((S$33/COS(S$34*PI()/180))/2))+$E$16)*$E$10))^(1/3))/100)</f>
        <v>5.8790588644732384</v>
      </c>
      <c r="T41" s="146">
        <f t="shared" si="3"/>
        <v>5.5139106031511886</v>
      </c>
      <c r="U41" s="146">
        <f t="shared" si="3"/>
        <v>5.4888603861256522</v>
      </c>
      <c r="V41" s="146">
        <f t="shared" si="3"/>
        <v>5.2091257517704133</v>
      </c>
      <c r="W41" s="146">
        <f t="shared" si="3"/>
        <v>5.1851834011828579</v>
      </c>
      <c r="X41" s="146">
        <f t="shared" si="3"/>
        <v>4.9622089416691653</v>
      </c>
      <c r="Y41" s="146">
        <f t="shared" si="3"/>
        <v>4.93920932730326</v>
      </c>
      <c r="Z41" s="146">
        <f t="shared" si="3"/>
        <v>4.7563150009699555</v>
      </c>
      <c r="AA41" s="146">
        <f t="shared" si="3"/>
        <v>4.7341295127089422</v>
      </c>
      <c r="AB41" s="146">
        <f t="shared" si="3"/>
        <v>4.5808310508269079</v>
      </c>
      <c r="AC41" s="146">
        <f t="shared" si="3"/>
        <v>4.5593578932611569</v>
      </c>
      <c r="AD41" s="146">
        <f t="shared" si="3"/>
        <v>4.428676977673077</v>
      </c>
      <c r="AE41" s="146">
        <f t="shared" si="3"/>
        <v>4.4078341823098404</v>
      </c>
      <c r="AF41" s="146">
        <f t="shared" si="3"/>
        <v>4.2949148510819803</v>
      </c>
      <c r="AG41" s="146">
        <f t="shared" si="3"/>
        <v>4.2746353445225171</v>
      </c>
      <c r="AH41" s="146">
        <f t="shared" si="3"/>
        <v>4.1759761573633112</v>
      </c>
      <c r="AI41" s="147">
        <f t="shared" si="3"/>
        <v>4.1562042552480056</v>
      </c>
    </row>
    <row r="42" spans="3:35" ht="18" customHeight="1" x14ac:dyDescent="0.25">
      <c r="C42" s="44"/>
      <c r="D42" s="45"/>
      <c r="E42" s="47"/>
      <c r="F42" s="8"/>
      <c r="G42" s="7"/>
      <c r="H42" s="7"/>
      <c r="P42" s="189"/>
      <c r="Q42" s="143">
        <v>55</v>
      </c>
      <c r="R42" s="145">
        <f t="shared" ref="R42:AG45" si="4">1.07*((((384*$H$13*100000)/(5*((((VLOOKUP(R$34,$I$8:$J$18,2))*$Q36)*R$33/2)+((($E$9*(1-0.088))+($E$19/$E$6))*((R$33/COS(R$34*PI()/180))/2))+$E$16)*$E$10))^(1/3))/100)</f>
        <v>5.631478910687048</v>
      </c>
      <c r="S42" s="145">
        <f t="shared" si="4"/>
        <v>5.6096448683919791</v>
      </c>
      <c r="T42" s="145">
        <f t="shared" si="4"/>
        <v>5.2540541294007745</v>
      </c>
      <c r="U42" s="145">
        <f t="shared" si="4"/>
        <v>5.2333774101913848</v>
      </c>
      <c r="V42" s="145">
        <f t="shared" si="4"/>
        <v>4.9610025392412158</v>
      </c>
      <c r="W42" s="145">
        <f t="shared" si="4"/>
        <v>4.9412815933835992</v>
      </c>
      <c r="X42" s="145">
        <f t="shared" si="4"/>
        <v>4.7240239427107884</v>
      </c>
      <c r="Y42" s="145">
        <f t="shared" si="4"/>
        <v>4.7051083554644526</v>
      </c>
      <c r="Z42" s="145">
        <f t="shared" si="4"/>
        <v>4.5266845062486478</v>
      </c>
      <c r="AA42" s="145">
        <f t="shared" si="4"/>
        <v>4.5084596072246717</v>
      </c>
      <c r="AB42" s="145">
        <f t="shared" si="4"/>
        <v>4.3586673503553914</v>
      </c>
      <c r="AC42" s="145">
        <f t="shared" si="4"/>
        <v>4.3410436713628258</v>
      </c>
      <c r="AD42" s="145">
        <f t="shared" si="4"/>
        <v>4.2131085220952222</v>
      </c>
      <c r="AE42" s="145">
        <f t="shared" si="4"/>
        <v>4.1960147624060546</v>
      </c>
      <c r="AF42" s="145">
        <f t="shared" si="4"/>
        <v>4.0852311107350259</v>
      </c>
      <c r="AG42" s="145">
        <f t="shared" si="4"/>
        <v>4.068609381155226</v>
      </c>
      <c r="AH42" s="145">
        <f t="shared" si="3"/>
        <v>3.9715889612158883</v>
      </c>
      <c r="AI42" s="148">
        <f t="shared" si="3"/>
        <v>3.9553914962446624</v>
      </c>
    </row>
    <row r="43" spans="3:35" ht="18" customHeight="1" x14ac:dyDescent="0.25">
      <c r="C43" s="44"/>
      <c r="D43" s="45"/>
      <c r="E43" s="47"/>
      <c r="F43" s="8"/>
      <c r="G43" s="7"/>
      <c r="H43" s="7"/>
      <c r="P43" s="189"/>
      <c r="Q43" s="143">
        <v>65</v>
      </c>
      <c r="R43" s="145">
        <f t="shared" si="4"/>
        <v>5.4021881637108375</v>
      </c>
      <c r="S43" s="145">
        <f t="shared" si="3"/>
        <v>5.3836819669974556</v>
      </c>
      <c r="T43" s="145">
        <f t="shared" si="3"/>
        <v>5.0371518056026598</v>
      </c>
      <c r="U43" s="145">
        <f t="shared" si="3"/>
        <v>5.0196674789791409</v>
      </c>
      <c r="V43" s="145">
        <f t="shared" si="3"/>
        <v>4.7542791604024739</v>
      </c>
      <c r="W43" s="145">
        <f t="shared" si="3"/>
        <v>4.7376296402639539</v>
      </c>
      <c r="X43" s="145">
        <f t="shared" si="3"/>
        <v>4.5258489729123799</v>
      </c>
      <c r="Y43" s="145">
        <f t="shared" si="3"/>
        <v>4.5098978799288822</v>
      </c>
      <c r="Z43" s="145">
        <f t="shared" si="3"/>
        <v>4.3358234513902856</v>
      </c>
      <c r="AA43" s="145">
        <f t="shared" si="3"/>
        <v>4.3204683151476235</v>
      </c>
      <c r="AB43" s="145">
        <f t="shared" si="3"/>
        <v>4.1741615654275739</v>
      </c>
      <c r="AC43" s="145">
        <f t="shared" si="3"/>
        <v>4.1593232292354951</v>
      </c>
      <c r="AD43" s="145">
        <f t="shared" si="3"/>
        <v>4.0341966448371407</v>
      </c>
      <c r="AE43" s="145">
        <f t="shared" si="3"/>
        <v>4.0198124833551176</v>
      </c>
      <c r="AF43" s="145">
        <f t="shared" si="3"/>
        <v>3.911296605919492</v>
      </c>
      <c r="AG43" s="145">
        <f t="shared" si="3"/>
        <v>3.8973160556740574</v>
      </c>
      <c r="AH43" s="145">
        <f t="shared" si="3"/>
        <v>3.8021241625491977</v>
      </c>
      <c r="AI43" s="148">
        <f t="shared" si="3"/>
        <v>3.7885056856243056</v>
      </c>
    </row>
    <row r="44" spans="3:35" ht="18" customHeight="1" x14ac:dyDescent="0.25">
      <c r="C44" s="44"/>
      <c r="D44" s="45"/>
      <c r="E44" s="47"/>
      <c r="F44" s="8"/>
      <c r="G44" s="7"/>
      <c r="H44" s="7"/>
      <c r="P44" s="189"/>
      <c r="Q44" s="144">
        <v>90</v>
      </c>
      <c r="R44" s="145">
        <f t="shared" si="4"/>
        <v>4.9585932494061495</v>
      </c>
      <c r="S44" s="145">
        <f t="shared" si="3"/>
        <v>4.9454365820814212</v>
      </c>
      <c r="T44" s="145">
        <f t="shared" si="3"/>
        <v>4.6188800417445881</v>
      </c>
      <c r="U44" s="145">
        <f t="shared" si="3"/>
        <v>4.6064993464320176</v>
      </c>
      <c r="V44" s="145">
        <f t="shared" si="3"/>
        <v>4.3565140226854471</v>
      </c>
      <c r="W44" s="145">
        <f t="shared" si="3"/>
        <v>4.3447563878838498</v>
      </c>
      <c r="X44" s="145">
        <f t="shared" si="3"/>
        <v>4.1451409108760906</v>
      </c>
      <c r="Y44" s="145">
        <f t="shared" si="3"/>
        <v>4.1338985923106728</v>
      </c>
      <c r="Z44" s="145">
        <f t="shared" si="3"/>
        <v>3.969609771636343</v>
      </c>
      <c r="AA44" s="145">
        <f t="shared" si="3"/>
        <v>3.9588035684408505</v>
      </c>
      <c r="AB44" s="145">
        <f t="shared" si="3"/>
        <v>3.8204781437152833</v>
      </c>
      <c r="AC44" s="145">
        <f t="shared" si="3"/>
        <v>3.8100478053726041</v>
      </c>
      <c r="AD44" s="145">
        <f t="shared" si="3"/>
        <v>3.6914985382484788</v>
      </c>
      <c r="AE44" s="145">
        <f t="shared" si="3"/>
        <v>3.6813969354522209</v>
      </c>
      <c r="AF44" s="145">
        <f t="shared" si="3"/>
        <v>3.5783419836383921</v>
      </c>
      <c r="AG44" s="145">
        <f t="shared" si="3"/>
        <v>3.568531396349925</v>
      </c>
      <c r="AH44" s="145">
        <f t="shared" si="3"/>
        <v>3.4778964640356049</v>
      </c>
      <c r="AI44" s="148">
        <f t="shared" si="3"/>
        <v>3.468346120547904</v>
      </c>
    </row>
    <row r="45" spans="3:35" ht="18" customHeight="1" x14ac:dyDescent="0.3">
      <c r="C45" s="44"/>
      <c r="D45" s="44"/>
      <c r="E45" s="130"/>
      <c r="F45" s="6"/>
      <c r="G45" s="7"/>
      <c r="H45" s="7"/>
      <c r="P45" s="190"/>
      <c r="Q45" s="149">
        <v>140</v>
      </c>
      <c r="R45" s="150">
        <f t="shared" si="4"/>
        <v>4.377605276831301</v>
      </c>
      <c r="S45" s="150">
        <f t="shared" si="3"/>
        <v>4.3695999927340026</v>
      </c>
      <c r="T45" s="150">
        <f t="shared" si="3"/>
        <v>4.0733435163574425</v>
      </c>
      <c r="U45" s="150">
        <f t="shared" si="3"/>
        <v>4.0658422718783314</v>
      </c>
      <c r="V45" s="150">
        <f t="shared" si="3"/>
        <v>3.8391917374482509</v>
      </c>
      <c r="W45" s="150">
        <f t="shared" si="3"/>
        <v>3.8320884060297415</v>
      </c>
      <c r="X45" s="150">
        <f t="shared" si="3"/>
        <v>3.6510156401978833</v>
      </c>
      <c r="Y45" s="150">
        <f t="shared" si="3"/>
        <v>3.644237680289224</v>
      </c>
      <c r="Z45" s="150">
        <f t="shared" si="3"/>
        <v>3.4950327478266892</v>
      </c>
      <c r="AA45" s="150">
        <f t="shared" si="3"/>
        <v>3.488527901139661</v>
      </c>
      <c r="AB45" s="150">
        <f t="shared" si="3"/>
        <v>3.3626946975290082</v>
      </c>
      <c r="AC45" s="150">
        <f t="shared" si="3"/>
        <v>3.3564237792395173</v>
      </c>
      <c r="AD45" s="150">
        <f t="shared" si="3"/>
        <v>3.2483661565009188</v>
      </c>
      <c r="AE45" s="150">
        <f t="shared" si="3"/>
        <v>3.2422988461273632</v>
      </c>
      <c r="AF45" s="150">
        <f t="shared" si="3"/>
        <v>3.1481534864797323</v>
      </c>
      <c r="AG45" s="150">
        <f t="shared" si="3"/>
        <v>3.1422657214521919</v>
      </c>
      <c r="AH45" s="150">
        <f t="shared" si="3"/>
        <v>3.0592640802574618</v>
      </c>
      <c r="AI45" s="151">
        <f t="shared" si="3"/>
        <v>3.0535363633430301</v>
      </c>
    </row>
    <row r="46" spans="3:35" ht="18" hidden="1" customHeight="1" x14ac:dyDescent="0.3">
      <c r="C46" s="133">
        <v>3</v>
      </c>
      <c r="D46" s="136" t="s">
        <v>33</v>
      </c>
      <c r="E46" s="132">
        <f>(((384*$H$14*100000)/(5*$E27*E10))^(1/3))/100</f>
        <v>6.4051559271503633</v>
      </c>
      <c r="F46" s="6"/>
      <c r="G46" s="7"/>
      <c r="H46" s="7"/>
      <c r="P46" s="84" t="s">
        <v>64</v>
      </c>
    </row>
    <row r="47" spans="3:35" ht="18" hidden="1" customHeight="1" x14ac:dyDescent="0.3">
      <c r="C47" s="44"/>
      <c r="D47" s="137" t="s">
        <v>56</v>
      </c>
      <c r="E47" s="47"/>
      <c r="F47" s="6"/>
      <c r="G47" s="7"/>
      <c r="H47" s="7"/>
      <c r="P47" s="183" t="s">
        <v>39</v>
      </c>
      <c r="Q47" s="48">
        <v>45</v>
      </c>
      <c r="R47" s="85">
        <f t="shared" ref="R47:AI47" si="5">(((384*$H$14*100000)/(5*((((VLOOKUP(R$34,$I$8:$J$18,2))*$Q41)*R$33/2)+((($E$9*(1-0.088))+($E$18/$E$6))*((R$33/COS(R$34*PI()/180))/2))+$E$17)*$E$10))^(1/3))/100</f>
        <v>7.1252547534669395</v>
      </c>
      <c r="S47" s="86">
        <f t="shared" si="5"/>
        <v>7.1089557588378103</v>
      </c>
      <c r="T47" s="85">
        <f t="shared" si="5"/>
        <v>6.7270429381687373</v>
      </c>
      <c r="U47" s="87">
        <f t="shared" si="5"/>
        <v>6.7108597880543757</v>
      </c>
      <c r="V47" s="88">
        <f t="shared" si="5"/>
        <v>6.4051559271503633</v>
      </c>
      <c r="W47" s="86">
        <f t="shared" si="5"/>
        <v>6.3891974461782146</v>
      </c>
      <c r="X47" s="85">
        <f t="shared" si="5"/>
        <v>6.1371910044476543</v>
      </c>
      <c r="Y47" s="87">
        <f t="shared" si="5"/>
        <v>6.1215003414228102</v>
      </c>
      <c r="Z47" s="88">
        <f t="shared" si="5"/>
        <v>5.9090952343496959</v>
      </c>
      <c r="AA47" s="86">
        <f t="shared" si="5"/>
        <v>5.893685538485645</v>
      </c>
      <c r="AB47" s="85">
        <f t="shared" si="5"/>
        <v>5.711524642954303</v>
      </c>
      <c r="AC47" s="87">
        <f t="shared" si="5"/>
        <v>5.6963947822656236</v>
      </c>
      <c r="AD47" s="88">
        <f t="shared" si="5"/>
        <v>5.5379794540272682</v>
      </c>
      <c r="AE47" s="86">
        <f t="shared" si="5"/>
        <v>5.5231214663796218</v>
      </c>
      <c r="AF47" s="85">
        <f t="shared" si="5"/>
        <v>5.3837724041628867</v>
      </c>
      <c r="AG47" s="87">
        <f t="shared" si="5"/>
        <v>5.3691752120542562</v>
      </c>
      <c r="AH47" s="88">
        <f t="shared" si="5"/>
        <v>5.2454222058443438</v>
      </c>
      <c r="AI47" s="87">
        <f t="shared" si="5"/>
        <v>5.231073528220322</v>
      </c>
    </row>
    <row r="48" spans="3:35" ht="18" hidden="1" customHeight="1" x14ac:dyDescent="0.3">
      <c r="C48" s="44"/>
      <c r="D48" s="45"/>
      <c r="E48" s="47"/>
      <c r="F48" s="6"/>
      <c r="G48" s="7"/>
      <c r="H48" s="7"/>
      <c r="P48" s="188"/>
      <c r="Q48" s="49">
        <v>55</v>
      </c>
      <c r="R48" s="90">
        <f t="shared" ref="R48:AI48" si="6">(((384*$H$14*100000)/(5*((((VLOOKUP(R$34,$I$8:$J$18,2))*$Q42)*R$33/2)+((($E$9*(1-0.088))+($E$18/$E$6))*((R$33/COS(R$34*PI()/180))/2))+$E$17)*$E$10))^(1/3))/100</f>
        <v>6.8169547473220584</v>
      </c>
      <c r="S48" s="91">
        <f t="shared" si="6"/>
        <v>6.8032910729442824</v>
      </c>
      <c r="T48" s="90">
        <f t="shared" si="6"/>
        <v>6.4221911945106296</v>
      </c>
      <c r="U48" s="92">
        <f t="shared" si="6"/>
        <v>6.4087397085096596</v>
      </c>
      <c r="V48" s="93">
        <f t="shared" si="6"/>
        <v>6.105429026428947</v>
      </c>
      <c r="W48" s="91">
        <f t="shared" si="6"/>
        <v>6.0922456416321369</v>
      </c>
      <c r="X48" s="90">
        <f t="shared" si="6"/>
        <v>5.8431563142373912</v>
      </c>
      <c r="Y48" s="92">
        <f t="shared" si="6"/>
        <v>5.8302543298926777</v>
      </c>
      <c r="Z48" s="93">
        <f t="shared" si="6"/>
        <v>5.620833796078105</v>
      </c>
      <c r="AA48" s="91">
        <f t="shared" si="6"/>
        <v>5.6082088865841433</v>
      </c>
      <c r="AB48" s="90">
        <f t="shared" si="6"/>
        <v>5.4288984520838817</v>
      </c>
      <c r="AC48" s="92">
        <f t="shared" si="6"/>
        <v>5.4165390313555069</v>
      </c>
      <c r="AD48" s="93">
        <f t="shared" si="6"/>
        <v>5.2607545955828936</v>
      </c>
      <c r="AE48" s="91">
        <f t="shared" si="6"/>
        <v>5.2486464086107665</v>
      </c>
      <c r="AF48" s="90">
        <f t="shared" si="6"/>
        <v>5.1116784087699498</v>
      </c>
      <c r="AG48" s="92">
        <f t="shared" si="6"/>
        <v>5.099806637050194</v>
      </c>
      <c r="AH48" s="93">
        <f t="shared" si="6"/>
        <v>4.9781813013052787</v>
      </c>
      <c r="AI48" s="92">
        <f t="shared" si="6"/>
        <v>4.9665315291380292</v>
      </c>
    </row>
    <row r="49" spans="3:35" ht="18" hidden="1" customHeight="1" x14ac:dyDescent="0.3">
      <c r="C49" s="44"/>
      <c r="D49" s="45"/>
      <c r="E49" s="47"/>
      <c r="F49" s="6"/>
      <c r="G49" s="7"/>
      <c r="H49" s="7"/>
      <c r="P49" s="188"/>
      <c r="Q49" s="49">
        <v>65</v>
      </c>
      <c r="R49" s="90">
        <f t="shared" ref="R49:AI49" si="7">(((384*$H$14*100000)/(5*((((VLOOKUP(R$34,$I$8:$J$18,2))*$Q43)*R$33/2)+((($E$9*(1-0.088))+($E$18/$E$6))*((R$33/COS(R$34*PI()/180))/2))+$E$17)*$E$10))^(1/3))/100</f>
        <v>6.5559176427280041</v>
      </c>
      <c r="S49" s="91">
        <f t="shared" si="7"/>
        <v>6.5442244784050763</v>
      </c>
      <c r="T49" s="90">
        <f t="shared" si="7"/>
        <v>6.1660247272690638</v>
      </c>
      <c r="U49" s="92">
        <f t="shared" si="7"/>
        <v>6.1545889076221227</v>
      </c>
      <c r="V49" s="93">
        <f t="shared" si="7"/>
        <v>5.854939516922693</v>
      </c>
      <c r="W49" s="91">
        <f t="shared" si="7"/>
        <v>5.8437844265795889</v>
      </c>
      <c r="X49" s="90">
        <f t="shared" si="7"/>
        <v>5.5984325660125158</v>
      </c>
      <c r="Y49" s="92">
        <f t="shared" si="7"/>
        <v>5.5875542151080451</v>
      </c>
      <c r="Z49" s="93">
        <f t="shared" si="7"/>
        <v>5.381684331658918</v>
      </c>
      <c r="AA49" s="91">
        <f t="shared" si="7"/>
        <v>5.3710689287338118</v>
      </c>
      <c r="AB49" s="90">
        <f t="shared" si="7"/>
        <v>5.1950275869652351</v>
      </c>
      <c r="AC49" s="92">
        <f t="shared" si="7"/>
        <v>5.1846583427858093</v>
      </c>
      <c r="AD49" s="93">
        <f t="shared" si="7"/>
        <v>5.0318376418251169</v>
      </c>
      <c r="AE49" s="91">
        <f t="shared" si="7"/>
        <v>5.0216975259258279</v>
      </c>
      <c r="AF49" s="90">
        <f t="shared" si="7"/>
        <v>4.8873944362680612</v>
      </c>
      <c r="AG49" s="92">
        <f t="shared" si="7"/>
        <v>4.8774672821329457</v>
      </c>
      <c r="AH49" s="93">
        <f t="shared" si="7"/>
        <v>4.7582269706851434</v>
      </c>
      <c r="AI49" s="92">
        <f t="shared" si="7"/>
        <v>4.7484978719202804</v>
      </c>
    </row>
    <row r="50" spans="3:35" ht="18" hidden="1" customHeight="1" x14ac:dyDescent="0.3">
      <c r="C50" s="44"/>
      <c r="D50" s="45"/>
      <c r="E50" s="47"/>
      <c r="F50" s="6"/>
      <c r="G50" s="7"/>
      <c r="H50" s="7"/>
      <c r="P50" s="188"/>
      <c r="Q50" s="50">
        <v>90</v>
      </c>
      <c r="R50" s="95">
        <f t="shared" ref="R50:AI50" si="8">(((384*$H$14*100000)/(5*((((VLOOKUP(R$34,$I$8:$J$18,2))*$Q44)*R$33/2)+((($E$9*(1-0.088))+($E$18/$E$6))*((R$33/COS(R$34*PI()/180))/2))+$E$17)*$E$10))^(1/3))/100</f>
        <v>6.0438247318344738</v>
      </c>
      <c r="S50" s="96">
        <f t="shared" si="8"/>
        <v>6.0353723183826444</v>
      </c>
      <c r="T50" s="95">
        <f t="shared" si="8"/>
        <v>5.6680793798524505</v>
      </c>
      <c r="U50" s="97">
        <f t="shared" si="8"/>
        <v>5.6599069856468676</v>
      </c>
      <c r="V50" s="98">
        <f t="shared" si="8"/>
        <v>5.3711939608535921</v>
      </c>
      <c r="W50" s="96">
        <f t="shared" si="8"/>
        <v>5.363286378015772</v>
      </c>
      <c r="X50" s="95">
        <f t="shared" si="8"/>
        <v>5.1281182482356744</v>
      </c>
      <c r="Y50" s="97">
        <f t="shared" si="8"/>
        <v>5.1204531145409753</v>
      </c>
      <c r="Z50" s="98">
        <f t="shared" si="8"/>
        <v>4.9238153178207593</v>
      </c>
      <c r="AA50" s="96">
        <f t="shared" si="8"/>
        <v>4.9163702014639679</v>
      </c>
      <c r="AB50" s="95">
        <f t="shared" si="8"/>
        <v>4.7486124484539252</v>
      </c>
      <c r="AC50" s="97">
        <f t="shared" si="8"/>
        <v>4.7413668890946781</v>
      </c>
      <c r="AD50" s="98">
        <f t="shared" si="8"/>
        <v>4.5959527932805777</v>
      </c>
      <c r="AE50" s="96">
        <f t="shared" si="8"/>
        <v>4.588888723225808</v>
      </c>
      <c r="AF50" s="95">
        <f t="shared" si="8"/>
        <v>4.4612050285038487</v>
      </c>
      <c r="AG50" s="97">
        <f t="shared" si="8"/>
        <v>4.4543066646090441</v>
      </c>
      <c r="AH50" s="98">
        <f t="shared" si="8"/>
        <v>4.3409875301797749</v>
      </c>
      <c r="AI50" s="97">
        <f t="shared" si="8"/>
        <v>4.3342411117236557</v>
      </c>
    </row>
    <row r="51" spans="3:35" ht="18" hidden="1" customHeight="1" x14ac:dyDescent="0.25">
      <c r="C51" s="44"/>
      <c r="D51" s="44"/>
      <c r="E51" s="130"/>
      <c r="F51" s="8"/>
      <c r="G51" s="7"/>
      <c r="H51" s="7"/>
      <c r="P51" s="188"/>
      <c r="Q51" s="117">
        <v>140</v>
      </c>
      <c r="R51" s="95">
        <f t="shared" ref="R51:AI51" si="9">(((384*$H$14*100000)/(5*((((VLOOKUP(R$34,$I$8:$J$18,2))*$Q45)*R$33/2)+((($E$9*(1-0.088))+($E$18/$E$6))*((R$33/COS(R$34*PI()/180))/2))+$E$17)*$E$10))^(1/3))/100</f>
        <v>5.3607849090404294</v>
      </c>
      <c r="S51" s="95">
        <f t="shared" si="9"/>
        <v>5.3555487390377117</v>
      </c>
      <c r="T51" s="95">
        <f t="shared" si="9"/>
        <v>5.0118756071092179</v>
      </c>
      <c r="U51" s="95">
        <f t="shared" si="9"/>
        <v>5.0068753405969764</v>
      </c>
      <c r="V51" s="95">
        <f t="shared" si="9"/>
        <v>4.7390751669681253</v>
      </c>
      <c r="W51" s="95">
        <f t="shared" si="9"/>
        <v>4.7342785495704014</v>
      </c>
      <c r="X51" s="95">
        <f t="shared" si="9"/>
        <v>4.5173880533435229</v>
      </c>
      <c r="Y51" s="95">
        <f t="shared" si="9"/>
        <v>4.512767990665945</v>
      </c>
      <c r="Z51" s="95">
        <f t="shared" si="9"/>
        <v>4.3321074235846133</v>
      </c>
      <c r="AA51" s="95">
        <f t="shared" si="9"/>
        <v>4.3276418211674965</v>
      </c>
      <c r="AB51" s="95">
        <f t="shared" si="9"/>
        <v>4.1739115136123068</v>
      </c>
      <c r="AC51" s="95">
        <f t="shared" si="9"/>
        <v>4.1695823588576841</v>
      </c>
      <c r="AD51" s="95">
        <f t="shared" si="9"/>
        <v>4.0365527685306981</v>
      </c>
      <c r="AE51" s="95">
        <f t="shared" si="9"/>
        <v>4.032345253278157</v>
      </c>
      <c r="AF51" s="95">
        <f t="shared" si="9"/>
        <v>3.9156579797032207</v>
      </c>
      <c r="AG51" s="95">
        <f t="shared" si="9"/>
        <v>3.9115597986236406</v>
      </c>
      <c r="AH51" s="95">
        <f t="shared" si="9"/>
        <v>3.8080573703638421</v>
      </c>
      <c r="AI51" s="95">
        <f t="shared" si="9"/>
        <v>3.8040581851122783</v>
      </c>
    </row>
    <row r="52" spans="3:35" ht="18" customHeight="1" x14ac:dyDescent="0.3">
      <c r="C52" s="134">
        <v>4</v>
      </c>
      <c r="D52" s="163" t="s">
        <v>58</v>
      </c>
      <c r="E52" s="135">
        <f>1.07*((((384*$H$14*100000)/(5*$E29*E10))^(1/3))/100)</f>
        <v>6.6351086284648408</v>
      </c>
      <c r="P52" s="84" t="s">
        <v>65</v>
      </c>
    </row>
    <row r="53" spans="3:35" ht="18" customHeight="1" x14ac:dyDescent="0.25">
      <c r="P53" s="185" t="s">
        <v>39</v>
      </c>
      <c r="Q53" s="142">
        <v>45</v>
      </c>
      <c r="R53" s="146">
        <f>1.07*((((384*$H$14*100000)/(5*((((VLOOKUP(R$34,$I$8:$J$18,2))*$Q47)*R$33/2)+((($E$9*(1-0.088))+($E$19/$E$6))*((R$33/COS(R$34*PI()/180))/2))+$E$17)*$E$10))^(1/3))/100)</f>
        <v>7.3998941405516883</v>
      </c>
      <c r="S53" s="146">
        <f t="shared" ref="S53:AI57" si="10">1.07*((((384*$H$14*100000)/(5*((((VLOOKUP(S$34,$I$8:$J$18,2))*$Q47)*S$33/2)+((($E$9*(1-0.088))+($E$19/$E$6))*((S$33/COS(S$34*PI()/180))/2))+$E$17)*$E$10))^(1/3))/100)</f>
        <v>7.3718594879860841</v>
      </c>
      <c r="T53" s="146">
        <f t="shared" si="10"/>
        <v>6.9760116283727083</v>
      </c>
      <c r="U53" s="146">
        <f t="shared" si="10"/>
        <v>6.9483436864919934</v>
      </c>
      <c r="V53" s="146">
        <f t="shared" si="10"/>
        <v>6.6351086284648408</v>
      </c>
      <c r="W53" s="146">
        <f t="shared" si="10"/>
        <v>6.6079436284988518</v>
      </c>
      <c r="X53" s="146">
        <f t="shared" si="10"/>
        <v>6.3523749593983032</v>
      </c>
      <c r="Y53" s="146">
        <f t="shared" si="10"/>
        <v>6.3257539517993555</v>
      </c>
      <c r="Z53" s="146">
        <f t="shared" si="10"/>
        <v>6.1124005741493459</v>
      </c>
      <c r="AA53" s="146">
        <f t="shared" si="10"/>
        <v>6.0863238381280134</v>
      </c>
      <c r="AB53" s="146">
        <f t="shared" si="10"/>
        <v>5.9050157611653589</v>
      </c>
      <c r="AC53" s="146">
        <f t="shared" si="10"/>
        <v>5.8794658254530479</v>
      </c>
      <c r="AD53" s="146">
        <f t="shared" si="10"/>
        <v>5.7231879867499993</v>
      </c>
      <c r="AE53" s="146">
        <f t="shared" si="10"/>
        <v>5.6981400683483798</v>
      </c>
      <c r="AF53" s="146">
        <f t="shared" si="10"/>
        <v>5.5618699167368142</v>
      </c>
      <c r="AG53" s="146">
        <f t="shared" si="10"/>
        <v>5.5372968547692185</v>
      </c>
      <c r="AH53" s="146">
        <f t="shared" si="10"/>
        <v>5.4173275531257206</v>
      </c>
      <c r="AI53" s="147">
        <f t="shared" si="10"/>
        <v>5.3932021756840403</v>
      </c>
    </row>
    <row r="54" spans="3:35" ht="18" customHeight="1" x14ac:dyDescent="0.25">
      <c r="P54" s="189"/>
      <c r="Q54" s="143">
        <v>55</v>
      </c>
      <c r="R54" s="145">
        <f t="shared" ref="R54:AG57" si="11">1.07*((((384*$H$14*100000)/(5*((((VLOOKUP(R$34,$I$8:$J$18,2))*$Q48)*R$33/2)+((($E$9*(1-0.088))+($E$19/$E$6))*((R$33/COS(R$34*PI()/180))/2))+$E$17)*$E$10))^(1/3))/100)</f>
        <v>7.1050016089622856</v>
      </c>
      <c r="S54" s="145">
        <f t="shared" si="11"/>
        <v>7.0811549755121774</v>
      </c>
      <c r="T54" s="145">
        <f t="shared" si="11"/>
        <v>6.6859358275261789</v>
      </c>
      <c r="U54" s="145">
        <f t="shared" si="11"/>
        <v>6.6625685466276172</v>
      </c>
      <c r="V54" s="145">
        <f t="shared" si="11"/>
        <v>6.3509797853039336</v>
      </c>
      <c r="W54" s="145">
        <f t="shared" si="11"/>
        <v>6.3281544515385368</v>
      </c>
      <c r="X54" s="145">
        <f t="shared" si="11"/>
        <v>6.0744319883696622</v>
      </c>
      <c r="Y54" s="145">
        <f t="shared" si="11"/>
        <v>6.052149744458645</v>
      </c>
      <c r="Z54" s="145">
        <f t="shared" si="11"/>
        <v>5.840518516075643</v>
      </c>
      <c r="AA54" s="145">
        <f t="shared" si="11"/>
        <v>5.8187572867526933</v>
      </c>
      <c r="AB54" s="145">
        <f t="shared" si="11"/>
        <v>5.6389230211252785</v>
      </c>
      <c r="AC54" s="145">
        <f t="shared" si="11"/>
        <v>5.6176526678713294</v>
      </c>
      <c r="AD54" s="145">
        <f t="shared" si="11"/>
        <v>5.4625617645606912</v>
      </c>
      <c r="AE54" s="145">
        <f t="shared" si="11"/>
        <v>5.441750426071196</v>
      </c>
      <c r="AF54" s="145">
        <f t="shared" si="11"/>
        <v>5.3063794677168055</v>
      </c>
      <c r="AG54" s="145">
        <f t="shared" si="11"/>
        <v>5.2859962375204477</v>
      </c>
      <c r="AH54" s="145">
        <f t="shared" si="10"/>
        <v>5.166653694613168</v>
      </c>
      <c r="AI54" s="148">
        <f t="shared" si="10"/>
        <v>5.146669689508184</v>
      </c>
    </row>
    <row r="55" spans="3:35" ht="18" customHeight="1" x14ac:dyDescent="0.25">
      <c r="P55" s="189"/>
      <c r="Q55" s="143">
        <v>65</v>
      </c>
      <c r="R55" s="145">
        <f t="shared" si="11"/>
        <v>6.8521228733615409</v>
      </c>
      <c r="S55" s="145">
        <f t="shared" si="10"/>
        <v>6.8314799729141082</v>
      </c>
      <c r="T55" s="145">
        <f t="shared" si="10"/>
        <v>6.4387857324534421</v>
      </c>
      <c r="U55" s="145">
        <f t="shared" si="10"/>
        <v>6.4186717057884151</v>
      </c>
      <c r="V55" s="145">
        <f t="shared" si="10"/>
        <v>6.1100093953864238</v>
      </c>
      <c r="W55" s="145">
        <f t="shared" si="10"/>
        <v>6.0904406443417489</v>
      </c>
      <c r="X55" s="145">
        <f t="shared" si="10"/>
        <v>5.8395214314520194</v>
      </c>
      <c r="Y55" s="145">
        <f t="shared" si="10"/>
        <v>5.8204755922068347</v>
      </c>
      <c r="Z55" s="145">
        <f t="shared" si="10"/>
        <v>5.61134784380637</v>
      </c>
      <c r="AA55" s="145">
        <f t="shared" si="10"/>
        <v>5.5927906599842894</v>
      </c>
      <c r="AB55" s="145">
        <f t="shared" si="10"/>
        <v>5.4151145531061609</v>
      </c>
      <c r="AC55" s="145">
        <f t="shared" si="10"/>
        <v>5.3970097109611386</v>
      </c>
      <c r="AD55" s="145">
        <f t="shared" si="10"/>
        <v>5.2437370448944831</v>
      </c>
      <c r="AE55" s="145">
        <f t="shared" si="10"/>
        <v>5.2260498316410464</v>
      </c>
      <c r="AF55" s="145">
        <f t="shared" si="10"/>
        <v>5.0921816162819171</v>
      </c>
      <c r="AG55" s="145">
        <f t="shared" si="10"/>
        <v>5.0748801654817512</v>
      </c>
      <c r="AH55" s="145">
        <f t="shared" si="10"/>
        <v>4.9567550300644942</v>
      </c>
      <c r="AI55" s="148">
        <f t="shared" si="10"/>
        <v>4.939810590253443</v>
      </c>
    </row>
    <row r="56" spans="3:35" ht="18" customHeight="1" x14ac:dyDescent="0.25">
      <c r="P56" s="189"/>
      <c r="Q56" s="144">
        <v>90</v>
      </c>
      <c r="R56" s="145">
        <f t="shared" si="11"/>
        <v>6.3481931098836659</v>
      </c>
      <c r="S56" s="145">
        <f t="shared" si="10"/>
        <v>6.3329664045005103</v>
      </c>
      <c r="T56" s="145">
        <f t="shared" si="10"/>
        <v>5.9501970930219947</v>
      </c>
      <c r="U56" s="145">
        <f t="shared" si="10"/>
        <v>5.9355085118246116</v>
      </c>
      <c r="V56" s="145">
        <f t="shared" si="10"/>
        <v>5.6363253727258185</v>
      </c>
      <c r="W56" s="145">
        <f t="shared" si="10"/>
        <v>5.6221355415951653</v>
      </c>
      <c r="X56" s="145">
        <f t="shared" si="10"/>
        <v>5.3796909817165082</v>
      </c>
      <c r="Y56" s="145">
        <f t="shared" si="10"/>
        <v>5.365952537072344</v>
      </c>
      <c r="Z56" s="145">
        <f t="shared" si="10"/>
        <v>5.1642127292753965</v>
      </c>
      <c r="AA56" s="145">
        <f t="shared" si="10"/>
        <v>5.1508808175018039</v>
      </c>
      <c r="AB56" s="145">
        <f t="shared" si="10"/>
        <v>4.9795738565027889</v>
      </c>
      <c r="AC56" s="145">
        <f t="shared" si="10"/>
        <v>4.9666086949670936</v>
      </c>
      <c r="AD56" s="145">
        <f t="shared" si="10"/>
        <v>4.8187954128359554</v>
      </c>
      <c r="AE56" s="145">
        <f t="shared" si="10"/>
        <v>4.8061624553899849</v>
      </c>
      <c r="AF56" s="145">
        <f t="shared" si="10"/>
        <v>4.6769560547096107</v>
      </c>
      <c r="AG56" s="145">
        <f t="shared" si="10"/>
        <v>4.6646254614281197</v>
      </c>
      <c r="AH56" s="145">
        <f t="shared" si="10"/>
        <v>4.5504672306063636</v>
      </c>
      <c r="AI56" s="148">
        <f t="shared" si="10"/>
        <v>4.5384131958921952</v>
      </c>
    </row>
    <row r="57" spans="3:35" ht="18" customHeight="1" x14ac:dyDescent="0.25">
      <c r="P57" s="190"/>
      <c r="Q57" s="149">
        <v>140</v>
      </c>
      <c r="R57" s="150">
        <f t="shared" si="11"/>
        <v>5.6617536505655401</v>
      </c>
      <c r="S57" s="150">
        <f t="shared" si="10"/>
        <v>5.6521061616107984</v>
      </c>
      <c r="T57" s="150">
        <f t="shared" si="10"/>
        <v>5.2918036039248246</v>
      </c>
      <c r="U57" s="150">
        <f t="shared" si="10"/>
        <v>5.2826011256330965</v>
      </c>
      <c r="V57" s="150">
        <f t="shared" si="10"/>
        <v>5.0028187653561833</v>
      </c>
      <c r="W57" s="150">
        <f t="shared" si="10"/>
        <v>4.9939979400934238</v>
      </c>
      <c r="X57" s="150">
        <f t="shared" si="10"/>
        <v>4.7681330516337432</v>
      </c>
      <c r="Y57" s="150">
        <f t="shared" si="10"/>
        <v>4.759641735684216</v>
      </c>
      <c r="Z57" s="150">
        <f t="shared" si="10"/>
        <v>4.5720841090619535</v>
      </c>
      <c r="AA57" s="150">
        <f t="shared" si="10"/>
        <v>4.5638802425829255</v>
      </c>
      <c r="AB57" s="150">
        <f t="shared" si="10"/>
        <v>4.4047572456207149</v>
      </c>
      <c r="AC57" s="150">
        <f t="shared" si="10"/>
        <v>4.3968067735612184</v>
      </c>
      <c r="AD57" s="150">
        <f t="shared" si="10"/>
        <v>4.2595140383191614</v>
      </c>
      <c r="AE57" s="150">
        <f t="shared" si="10"/>
        <v>4.251789096453586</v>
      </c>
      <c r="AF57" s="150">
        <f t="shared" si="10"/>
        <v>4.1317112848250401</v>
      </c>
      <c r="AG57" s="150">
        <f t="shared" si="10"/>
        <v>4.1241887990504367</v>
      </c>
      <c r="AH57" s="150">
        <f t="shared" si="10"/>
        <v>4.0179856345974514</v>
      </c>
      <c r="AI57" s="151">
        <f t="shared" si="10"/>
        <v>4.0106462710127051</v>
      </c>
    </row>
    <row r="58" spans="3:35" ht="18" customHeight="1" x14ac:dyDescent="0.25"/>
    <row r="59" spans="3:35" ht="18" customHeight="1" x14ac:dyDescent="0.25"/>
    <row r="60" spans="3:35" ht="18" customHeight="1" x14ac:dyDescent="0.25"/>
    <row r="61" spans="3:35" ht="18" customHeight="1" x14ac:dyDescent="0.25"/>
    <row r="62" spans="3:35" ht="18" customHeight="1" x14ac:dyDescent="0.25"/>
    <row r="63" spans="3:35" ht="18" customHeight="1" x14ac:dyDescent="0.25"/>
    <row r="64" spans="3:35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20.100000000000001" customHeight="1" x14ac:dyDescent="0.25"/>
    <row r="70" ht="20.100000000000001" customHeight="1" x14ac:dyDescent="0.25"/>
    <row r="71" ht="20.100000000000001" customHeight="1" x14ac:dyDescent="0.25"/>
    <row r="72" ht="20.100000000000001" customHeight="1" x14ac:dyDescent="0.25"/>
    <row r="73" ht="20.100000000000001" customHeight="1" x14ac:dyDescent="0.25"/>
    <row r="74" ht="20.100000000000001" customHeight="1" x14ac:dyDescent="0.25"/>
  </sheetData>
  <sheetProtection algorithmName="SHA-512" hashValue="/V++c/0rXbMlC21cKW9rNXnI2d6Ooh0wWVu626CsMyuakMvIcEOT447KSqDzpyh7nufnse3TjlLtYl7N8foIOA==" saltValue="sCBIPxhh/5PAfQgh4kAfpQ==" spinCount="100000" sheet="1" objects="1" scenarios="1"/>
  <mergeCells count="15">
    <mergeCell ref="P35:P39"/>
    <mergeCell ref="P41:P45"/>
    <mergeCell ref="P47:P51"/>
    <mergeCell ref="P53:P57"/>
    <mergeCell ref="B2:E2"/>
    <mergeCell ref="I4:K4"/>
    <mergeCell ref="I6:J6"/>
    <mergeCell ref="C31:D31"/>
    <mergeCell ref="D32:E32"/>
    <mergeCell ref="C22:C23"/>
    <mergeCell ref="I22:K22"/>
    <mergeCell ref="I23:K23"/>
    <mergeCell ref="C24:C25"/>
    <mergeCell ref="C26:C27"/>
    <mergeCell ref="C28:C29"/>
  </mergeCells>
  <conditionalFormatting sqref="E33:E51">
    <cfRule type="cellIs" dxfId="1" priority="1" stopIfTrue="1" operator="greaterThan">
      <formula>$E$31</formula>
    </cfRule>
  </conditionalFormatting>
  <pageMargins left="0.39370078740157483" right="0" top="0.39370078740157483" bottom="0" header="0" footer="0"/>
  <pageSetup paperSize="8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I83"/>
  <sheetViews>
    <sheetView workbookViewId="0">
      <selection activeCell="L58" sqref="L58"/>
    </sheetView>
  </sheetViews>
  <sheetFormatPr baseColWidth="10" defaultRowHeight="13.2" x14ac:dyDescent="0.25"/>
  <cols>
    <col min="1" max="1" width="1.6640625" customWidth="1"/>
    <col min="2" max="2" width="35.77734375" customWidth="1"/>
    <col min="3" max="3" width="2.21875" hidden="1" customWidth="1"/>
    <col min="4" max="4" width="54.77734375" customWidth="1"/>
    <col min="5" max="5" width="13.6640625" customWidth="1"/>
    <col min="6" max="6" width="1.77734375" customWidth="1"/>
    <col min="7" max="7" width="28.21875" hidden="1" customWidth="1"/>
    <col min="8" max="8" width="7" hidden="1" customWidth="1"/>
    <col min="9" max="9" width="14.77734375" hidden="1" customWidth="1"/>
    <col min="10" max="10" width="13.6640625" hidden="1" customWidth="1"/>
    <col min="11" max="11" width="7.77734375" hidden="1" customWidth="1"/>
    <col min="12" max="14" width="8.6640625" customWidth="1"/>
    <col min="15" max="15" width="5.77734375" customWidth="1"/>
    <col min="16" max="17" width="5.77734375" hidden="1" customWidth="1"/>
    <col min="18" max="35" width="6.77734375" hidden="1" customWidth="1"/>
  </cols>
  <sheetData>
    <row r="1" spans="2:16" ht="12.9" customHeight="1" x14ac:dyDescent="0.25">
      <c r="B1" s="191" t="s">
        <v>68</v>
      </c>
    </row>
    <row r="2" spans="2:16" ht="17.399999999999999" x14ac:dyDescent="0.25">
      <c r="B2" s="172" t="s">
        <v>55</v>
      </c>
      <c r="C2" s="173"/>
      <c r="D2" s="173"/>
      <c r="E2" s="173"/>
    </row>
    <row r="3" spans="2:16" ht="5.0999999999999996" customHeight="1" x14ac:dyDescent="0.25"/>
    <row r="4" spans="2:16" ht="18" customHeight="1" x14ac:dyDescent="0.25">
      <c r="B4" s="36" t="s">
        <v>28</v>
      </c>
      <c r="D4" s="77" t="s">
        <v>11</v>
      </c>
      <c r="E4" s="78">
        <v>3</v>
      </c>
      <c r="G4" s="37" t="s">
        <v>32</v>
      </c>
      <c r="H4" s="38">
        <f>$E$4/COS($E$7*PI()/180)</f>
        <v>3.0114595126300423</v>
      </c>
      <c r="I4" s="167" t="s">
        <v>36</v>
      </c>
      <c r="J4" s="168"/>
      <c r="K4" s="169"/>
    </row>
    <row r="5" spans="2:16" ht="18" hidden="1" customHeight="1" x14ac:dyDescent="0.25">
      <c r="B5" s="15" t="s">
        <v>19</v>
      </c>
      <c r="D5" s="77" t="s">
        <v>9</v>
      </c>
      <c r="E5" s="78">
        <v>0</v>
      </c>
      <c r="P5" s="84" t="s">
        <v>47</v>
      </c>
    </row>
    <row r="6" spans="2:16" ht="18" customHeight="1" thickBot="1" x14ac:dyDescent="0.3">
      <c r="B6" s="15" t="s">
        <v>19</v>
      </c>
      <c r="D6" s="77" t="s">
        <v>10</v>
      </c>
      <c r="E6" s="78">
        <v>1.2</v>
      </c>
      <c r="L6" s="158"/>
      <c r="M6" s="159"/>
      <c r="N6" s="159"/>
    </row>
    <row r="7" spans="2:16" ht="18" customHeight="1" x14ac:dyDescent="0.25">
      <c r="B7" s="15" t="s">
        <v>18</v>
      </c>
      <c r="D7" s="77" t="s">
        <v>12</v>
      </c>
      <c r="E7" s="79">
        <v>5</v>
      </c>
      <c r="I7" s="16" t="s">
        <v>2</v>
      </c>
      <c r="J7" s="17" t="s">
        <v>23</v>
      </c>
      <c r="L7" s="158"/>
      <c r="M7" s="159"/>
      <c r="N7" s="159"/>
    </row>
    <row r="8" spans="2:16" ht="18" customHeight="1" x14ac:dyDescent="0.25">
      <c r="B8" s="15" t="s">
        <v>59</v>
      </c>
      <c r="D8" s="77" t="s">
        <v>0</v>
      </c>
      <c r="E8" s="79">
        <v>45</v>
      </c>
      <c r="I8" s="18">
        <v>5</v>
      </c>
      <c r="J8" s="19">
        <v>0.8</v>
      </c>
      <c r="L8" s="160"/>
      <c r="M8" s="161"/>
      <c r="N8" s="161"/>
      <c r="O8" s="14"/>
    </row>
    <row r="9" spans="2:16" ht="18" customHeight="1" x14ac:dyDescent="0.25">
      <c r="B9" s="162" t="s">
        <v>53</v>
      </c>
      <c r="D9" s="77" t="s">
        <v>1</v>
      </c>
      <c r="E9" s="79">
        <v>5</v>
      </c>
      <c r="I9" s="18">
        <v>10</v>
      </c>
      <c r="J9" s="19">
        <v>0.8</v>
      </c>
      <c r="O9" s="14"/>
    </row>
    <row r="10" spans="2:16" ht="18" hidden="1" customHeight="1" x14ac:dyDescent="0.25">
      <c r="D10" s="77" t="s">
        <v>17</v>
      </c>
      <c r="E10" s="83">
        <v>200</v>
      </c>
      <c r="I10" s="18">
        <v>15</v>
      </c>
      <c r="J10" s="19">
        <v>0.8</v>
      </c>
      <c r="O10" s="14"/>
    </row>
    <row r="11" spans="2:16" ht="18" hidden="1" customHeight="1" x14ac:dyDescent="0.25">
      <c r="D11" s="82"/>
      <c r="E11" s="76"/>
      <c r="I11" s="18">
        <v>20</v>
      </c>
      <c r="J11" s="19">
        <v>0.8</v>
      </c>
      <c r="O11" s="14"/>
    </row>
    <row r="12" spans="2:16" ht="18" hidden="1" customHeight="1" x14ac:dyDescent="0.25">
      <c r="D12" s="12"/>
      <c r="E12" s="76"/>
      <c r="I12" s="18">
        <v>25</v>
      </c>
      <c r="J12" s="19">
        <v>0.8</v>
      </c>
      <c r="O12" s="14"/>
    </row>
    <row r="13" spans="2:16" ht="18" hidden="1" customHeight="1" x14ac:dyDescent="0.25">
      <c r="D13" s="11" t="s">
        <v>13</v>
      </c>
      <c r="E13" s="100">
        <v>326.69</v>
      </c>
      <c r="G13" s="41" t="s">
        <v>34</v>
      </c>
      <c r="H13">
        <f>70000000000*(E13/100000000)</f>
        <v>228683</v>
      </c>
      <c r="I13" s="18">
        <v>30</v>
      </c>
      <c r="J13" s="19">
        <f t="shared" ref="J13:J18" si="0">0.8*(60-$I13)/30</f>
        <v>0.8</v>
      </c>
    </row>
    <row r="14" spans="2:16" ht="18" hidden="1" customHeight="1" x14ac:dyDescent="0.25">
      <c r="D14" s="11" t="s">
        <v>20</v>
      </c>
      <c r="E14" s="101">
        <v>144</v>
      </c>
      <c r="G14" s="41" t="s">
        <v>35</v>
      </c>
      <c r="H14">
        <f>(210000000000*(E14/100000000))+H13</f>
        <v>531083</v>
      </c>
      <c r="I14" s="18">
        <v>31</v>
      </c>
      <c r="J14" s="19">
        <f t="shared" si="0"/>
        <v>0.77333333333333343</v>
      </c>
    </row>
    <row r="15" spans="2:16" ht="18" hidden="1" customHeight="1" x14ac:dyDescent="0.25">
      <c r="D15" s="11" t="s">
        <v>16</v>
      </c>
      <c r="E15" s="101">
        <f>ROUND(E5/E6,0)</f>
        <v>0</v>
      </c>
      <c r="I15" s="18">
        <v>32</v>
      </c>
      <c r="J15" s="19">
        <f t="shared" si="0"/>
        <v>0.7466666666666667</v>
      </c>
    </row>
    <row r="16" spans="2:16" ht="18" hidden="1" customHeight="1" x14ac:dyDescent="0.25">
      <c r="D16" s="1" t="s">
        <v>14</v>
      </c>
      <c r="E16" s="102">
        <v>4.492</v>
      </c>
      <c r="I16" s="18">
        <v>33</v>
      </c>
      <c r="J16" s="19">
        <f t="shared" si="0"/>
        <v>0.72000000000000008</v>
      </c>
    </row>
    <row r="17" spans="3:11" ht="18" hidden="1" customHeight="1" x14ac:dyDescent="0.25">
      <c r="D17" s="1" t="s">
        <v>15</v>
      </c>
      <c r="E17" s="102">
        <v>13.912000000000001</v>
      </c>
      <c r="I17" s="18">
        <v>34</v>
      </c>
      <c r="J17" s="19">
        <f t="shared" si="0"/>
        <v>0.69333333333333336</v>
      </c>
    </row>
    <row r="18" spans="3:11" ht="18" hidden="1" customHeight="1" thickBot="1" x14ac:dyDescent="0.3">
      <c r="D18" s="1" t="s">
        <v>3</v>
      </c>
      <c r="E18" s="102">
        <v>2.2549999999999999</v>
      </c>
      <c r="I18" s="29">
        <v>35</v>
      </c>
      <c r="J18" s="30">
        <f t="shared" si="0"/>
        <v>0.66666666666666663</v>
      </c>
    </row>
    <row r="19" spans="3:11" ht="18" hidden="1" customHeight="1" x14ac:dyDescent="0.25">
      <c r="D19" s="1" t="s">
        <v>45</v>
      </c>
      <c r="E19" s="102">
        <v>17.954999999999998</v>
      </c>
      <c r="I19" s="31" t="s">
        <v>21</v>
      </c>
      <c r="J19" s="32">
        <f>VLOOKUP(E7,I8:J18,2)</f>
        <v>0.8</v>
      </c>
    </row>
    <row r="20" spans="3:11" ht="18" hidden="1" customHeight="1" x14ac:dyDescent="0.25">
      <c r="D20" s="39"/>
      <c r="E20" s="40"/>
      <c r="F20" s="4"/>
      <c r="G20" s="4"/>
      <c r="H20" s="4"/>
      <c r="I20" s="33" t="s">
        <v>24</v>
      </c>
      <c r="J20" s="26">
        <f>J19*1*1*E8+0</f>
        <v>36</v>
      </c>
    </row>
    <row r="21" spans="3:11" ht="18" hidden="1" customHeight="1" thickBot="1" x14ac:dyDescent="0.3">
      <c r="D21" s="12"/>
      <c r="E21" s="5"/>
      <c r="F21" s="4"/>
      <c r="G21" s="4"/>
      <c r="H21" s="4"/>
      <c r="I21" s="27" t="s">
        <v>22</v>
      </c>
      <c r="J21" s="28">
        <f>E5-(0.041*2)-(0.022*E15)</f>
        <v>-8.2000000000000003E-2</v>
      </c>
    </row>
    <row r="22" spans="3:11" s="3" customFormat="1" ht="18" hidden="1" customHeight="1" x14ac:dyDescent="0.25">
      <c r="C22" s="170">
        <v>1</v>
      </c>
      <c r="D22" s="2"/>
      <c r="E22" s="103"/>
      <c r="F22" s="5"/>
      <c r="G22" s="5"/>
      <c r="H22" s="5"/>
      <c r="I22" s="174" t="s">
        <v>25</v>
      </c>
      <c r="J22" s="174"/>
      <c r="K22" s="174"/>
    </row>
    <row r="23" spans="3:11" ht="18" hidden="1" customHeight="1" x14ac:dyDescent="0.25">
      <c r="C23" s="171"/>
      <c r="D23" s="1" t="s">
        <v>5</v>
      </c>
      <c r="E23" s="104">
        <f>($J$20*E4/2)+(((E9*(1-0.088))+(E18/E6))*(H4/2))+E16</f>
        <v>68.18764485587181</v>
      </c>
      <c r="F23" s="4"/>
      <c r="G23" s="4">
        <f>($J$20*E4/2)+(((E9*(1-0.088))+(E18/E6))*(H4/2))+E16</f>
        <v>68.18764485587181</v>
      </c>
      <c r="H23" s="4"/>
      <c r="I23" s="176" t="s">
        <v>26</v>
      </c>
      <c r="J23" s="177"/>
      <c r="K23" s="177"/>
    </row>
    <row r="24" spans="3:11" ht="18" hidden="1" customHeight="1" x14ac:dyDescent="0.25">
      <c r="C24" s="178">
        <v>2</v>
      </c>
      <c r="D24" s="105"/>
      <c r="E24" s="104"/>
      <c r="F24" s="4"/>
      <c r="G24" s="4"/>
      <c r="H24" s="4"/>
    </row>
    <row r="25" spans="3:11" ht="18" hidden="1" customHeight="1" x14ac:dyDescent="0.25">
      <c r="C25" s="171"/>
      <c r="D25" s="105" t="s">
        <v>51</v>
      </c>
      <c r="E25" s="104">
        <f>($J$20*E4/2)+(((E9*(1-0.088))+(E19/E6))*(H4/2))+E16</f>
        <v>87.887609167660003</v>
      </c>
      <c r="F25" s="4"/>
      <c r="G25" s="4">
        <f>($J$20*E4/2)+(((E9*(1-0.088))+(E19/E6))*(H4/2))+E16</f>
        <v>87.887609167660003</v>
      </c>
      <c r="H25" s="4"/>
    </row>
    <row r="26" spans="3:11" ht="18" hidden="1" customHeight="1" x14ac:dyDescent="0.25">
      <c r="C26" s="178">
        <v>3</v>
      </c>
      <c r="D26" s="1"/>
      <c r="E26" s="104"/>
      <c r="F26" s="4"/>
      <c r="G26" s="4"/>
      <c r="H26" s="4"/>
    </row>
    <row r="27" spans="3:11" ht="18" hidden="1" customHeight="1" x14ac:dyDescent="0.25">
      <c r="C27" s="171"/>
      <c r="D27" s="1" t="s">
        <v>6</v>
      </c>
      <c r="E27" s="104">
        <f>($J$20*E4/2)+(((E9*(1-0.088))+(E18/E6))*(H4/2))+E17</f>
        <v>77.607644855871811</v>
      </c>
      <c r="F27" s="4"/>
      <c r="G27" s="4">
        <f>($J$20*E4/2)+(((E9*(1-0.088))+(E18/E6))*(H4/2))+E17</f>
        <v>77.607644855871811</v>
      </c>
      <c r="H27" s="4"/>
    </row>
    <row r="28" spans="3:11" ht="18" hidden="1" customHeight="1" x14ac:dyDescent="0.25">
      <c r="C28" s="178">
        <v>4</v>
      </c>
      <c r="D28" s="105"/>
      <c r="E28" s="104"/>
      <c r="F28" s="4"/>
      <c r="G28" s="4"/>
      <c r="H28" s="4"/>
    </row>
    <row r="29" spans="3:11" ht="18" hidden="1" customHeight="1" x14ac:dyDescent="0.25">
      <c r="C29" s="171"/>
      <c r="D29" s="105" t="s">
        <v>52</v>
      </c>
      <c r="E29" s="104">
        <f>($J$20*E4/2)+(((E9*(1-0.088))+(E19/E6))*(H4/2))+E17</f>
        <v>97.307609167660004</v>
      </c>
      <c r="F29" s="4"/>
      <c r="G29" s="4">
        <f>($J$20*E4/2)+(((E9*(1-0.088))+(E19/E6))*(H4/2))+E17</f>
        <v>97.307609167660004</v>
      </c>
      <c r="H29" s="4"/>
    </row>
    <row r="30" spans="3:11" ht="18" hidden="1" customHeight="1" x14ac:dyDescent="0.25">
      <c r="D30" s="12"/>
      <c r="E30" s="5"/>
      <c r="F30" s="4"/>
      <c r="G30" s="4"/>
      <c r="H30" s="4"/>
    </row>
    <row r="31" spans="3:11" ht="18" hidden="1" customHeight="1" x14ac:dyDescent="0.3">
      <c r="C31" s="181"/>
      <c r="D31" s="182"/>
      <c r="E31" s="128"/>
      <c r="F31" s="4"/>
      <c r="G31" s="4"/>
      <c r="H31" s="4"/>
    </row>
    <row r="32" spans="3:11" ht="25.05" hidden="1" customHeight="1" x14ac:dyDescent="0.25">
      <c r="D32" s="179"/>
      <c r="E32" s="180"/>
      <c r="F32" s="4"/>
      <c r="G32" s="4"/>
      <c r="H32" s="4"/>
    </row>
    <row r="33" spans="3:35" ht="18" customHeight="1" x14ac:dyDescent="0.3">
      <c r="C33" s="44"/>
      <c r="D33" s="44"/>
      <c r="E33" s="130"/>
      <c r="F33" s="6"/>
      <c r="G33" s="7"/>
      <c r="H33" s="7"/>
      <c r="P33" s="106" t="s">
        <v>38</v>
      </c>
      <c r="Q33" s="107"/>
      <c r="R33" s="51">
        <v>2</v>
      </c>
      <c r="S33" s="52">
        <v>2</v>
      </c>
      <c r="T33" s="51">
        <v>2.5</v>
      </c>
      <c r="U33" s="53">
        <v>2.5</v>
      </c>
      <c r="V33" s="51">
        <v>3</v>
      </c>
      <c r="W33" s="53">
        <v>3</v>
      </c>
      <c r="X33" s="51">
        <v>3.5</v>
      </c>
      <c r="Y33" s="53">
        <v>3.5</v>
      </c>
      <c r="Z33" s="51">
        <v>4</v>
      </c>
      <c r="AA33" s="53">
        <v>4</v>
      </c>
      <c r="AB33" s="51">
        <v>4.5</v>
      </c>
      <c r="AC33" s="53">
        <v>4.5</v>
      </c>
      <c r="AD33" s="52">
        <v>5</v>
      </c>
      <c r="AE33" s="52">
        <v>5</v>
      </c>
      <c r="AF33" s="51">
        <v>5.5</v>
      </c>
      <c r="AG33" s="53">
        <v>5.5</v>
      </c>
      <c r="AH33" s="52">
        <v>6</v>
      </c>
      <c r="AI33" s="53">
        <v>6</v>
      </c>
    </row>
    <row r="34" spans="3:35" ht="18" hidden="1" customHeight="1" x14ac:dyDescent="0.3">
      <c r="C34" s="133">
        <v>1</v>
      </c>
      <c r="D34" s="136" t="s">
        <v>33</v>
      </c>
      <c r="E34" s="131">
        <f>(((384*$H$13*100000)/(5*$E23*E10))^(1/3))/100</f>
        <v>5.0499429468420001</v>
      </c>
      <c r="F34" s="6"/>
      <c r="G34" s="7"/>
      <c r="H34" s="7"/>
      <c r="P34" s="106" t="s">
        <v>2</v>
      </c>
      <c r="Q34" s="107"/>
      <c r="R34" s="55">
        <v>5</v>
      </c>
      <c r="S34" s="67">
        <v>20</v>
      </c>
      <c r="T34" s="55">
        <v>5</v>
      </c>
      <c r="U34" s="57">
        <v>20</v>
      </c>
      <c r="V34" s="71">
        <v>5</v>
      </c>
      <c r="W34" s="67">
        <v>20</v>
      </c>
      <c r="X34" s="55">
        <v>5</v>
      </c>
      <c r="Y34" s="57">
        <v>20</v>
      </c>
      <c r="Z34" s="71">
        <v>5</v>
      </c>
      <c r="AA34" s="67">
        <v>20</v>
      </c>
      <c r="AB34" s="55">
        <v>5</v>
      </c>
      <c r="AC34" s="57">
        <v>20</v>
      </c>
      <c r="AD34" s="71">
        <v>5</v>
      </c>
      <c r="AE34" s="67">
        <v>20</v>
      </c>
      <c r="AF34" s="55">
        <v>5</v>
      </c>
      <c r="AG34" s="57">
        <v>20</v>
      </c>
      <c r="AH34" s="71">
        <v>5</v>
      </c>
      <c r="AI34" s="57">
        <v>20</v>
      </c>
    </row>
    <row r="35" spans="3:35" ht="18" hidden="1" customHeight="1" x14ac:dyDescent="0.3">
      <c r="C35" s="44"/>
      <c r="D35" s="137" t="s">
        <v>56</v>
      </c>
      <c r="E35" s="46"/>
      <c r="F35" s="6"/>
      <c r="G35" s="7"/>
      <c r="H35" s="7"/>
      <c r="P35" s="183" t="s">
        <v>39</v>
      </c>
      <c r="Q35" s="48">
        <v>45</v>
      </c>
      <c r="R35" s="85">
        <f t="shared" ref="R35:AA39" si="1">(((384*$H$13*100000)/(5*((((VLOOKUP(R$34,$I$8:$J$18,2))*$Q35)*R$33/2)+((($E$9*(1-0.088))+($E$18/$E$6))*((R$33/COS(R$34*PI()/180))/2))+$E$16)*$E$10))^(1/3))/100</f>
        <v>5.718630905924913</v>
      </c>
      <c r="S35" s="86">
        <f t="shared" si="1"/>
        <v>5.7029396296734696</v>
      </c>
      <c r="T35" s="85">
        <f t="shared" si="1"/>
        <v>5.3430020444767594</v>
      </c>
      <c r="U35" s="87">
        <f t="shared" si="1"/>
        <v>5.3280570770142308</v>
      </c>
      <c r="V35" s="88">
        <f t="shared" si="1"/>
        <v>5.0499429468420001</v>
      </c>
      <c r="W35" s="86">
        <f t="shared" si="1"/>
        <v>5.0356326449491986</v>
      </c>
      <c r="X35" s="85">
        <f t="shared" si="1"/>
        <v>4.8121561216824542</v>
      </c>
      <c r="Y35" s="87">
        <f t="shared" si="1"/>
        <v>4.7983908370727253</v>
      </c>
      <c r="Z35" s="88">
        <f t="shared" si="1"/>
        <v>4.6136457662841863</v>
      </c>
      <c r="AA35" s="86">
        <f t="shared" si="1"/>
        <v>4.6003541591279449</v>
      </c>
      <c r="AB35" s="85">
        <f t="shared" ref="AB35:AI39" si="2">(((384*$H$13*100000)/(5*((((VLOOKUP(AB$34,$I$8:$J$18,2))*$Q35)*AB$33/2)+((($E$9*(1-0.088))+($E$18/$E$6))*((AB$33/COS(AB$34*PI()/180))/2))+$E$16)*$E$10))^(1/3))/100</f>
        <v>4.4443034072662986</v>
      </c>
      <c r="AC35" s="87">
        <f t="shared" si="2"/>
        <v>4.4314282122766411</v>
      </c>
      <c r="AD35" s="88">
        <f t="shared" si="2"/>
        <v>4.2973697272469451</v>
      </c>
      <c r="AE35" s="86">
        <f t="shared" si="2"/>
        <v>4.284864371302298</v>
      </c>
      <c r="AF35" s="85">
        <f t="shared" si="2"/>
        <v>4.1681218574366685</v>
      </c>
      <c r="AG35" s="87">
        <f t="shared" si="2"/>
        <v>4.1559479457414898</v>
      </c>
      <c r="AH35" s="88">
        <f t="shared" si="2"/>
        <v>4.0531416130852849</v>
      </c>
      <c r="AI35" s="87">
        <f t="shared" si="2"/>
        <v>4.0412670852364698</v>
      </c>
    </row>
    <row r="36" spans="3:35" ht="18" hidden="1" customHeight="1" x14ac:dyDescent="0.3">
      <c r="C36" s="44"/>
      <c r="D36" s="45"/>
      <c r="E36" s="46"/>
      <c r="F36" s="6"/>
      <c r="G36" s="7"/>
      <c r="H36" s="7"/>
      <c r="P36" s="188"/>
      <c r="Q36" s="49">
        <v>55</v>
      </c>
      <c r="R36" s="90">
        <f t="shared" si="1"/>
        <v>5.4264685103500119</v>
      </c>
      <c r="S36" s="91">
        <f t="shared" si="1"/>
        <v>5.4137362461746772</v>
      </c>
      <c r="T36" s="90">
        <f t="shared" si="1"/>
        <v>5.0652405853506863</v>
      </c>
      <c r="U36" s="92">
        <f t="shared" si="1"/>
        <v>5.0531593039000917</v>
      </c>
      <c r="V36" s="93">
        <f t="shared" si="1"/>
        <v>4.7843089381912769</v>
      </c>
      <c r="W36" s="91">
        <f t="shared" si="1"/>
        <v>4.7727704841224643</v>
      </c>
      <c r="X36" s="90">
        <f t="shared" si="1"/>
        <v>4.5568715098257089</v>
      </c>
      <c r="Y36" s="92">
        <f t="shared" si="1"/>
        <v>4.5457933452495194</v>
      </c>
      <c r="Z36" s="93">
        <f t="shared" si="1"/>
        <v>4.3673166503408227</v>
      </c>
      <c r="AA36" s="91">
        <f t="shared" si="1"/>
        <v>4.3566349959869255</v>
      </c>
      <c r="AB36" s="90">
        <f t="shared" si="2"/>
        <v>4.2058217301200029</v>
      </c>
      <c r="AC36" s="92">
        <f t="shared" si="2"/>
        <v>4.1954863686489032</v>
      </c>
      <c r="AD36" s="93">
        <f t="shared" si="2"/>
        <v>4.0658404933353696</v>
      </c>
      <c r="AE36" s="91">
        <f t="shared" si="2"/>
        <v>4.0558111401432004</v>
      </c>
      <c r="AF36" s="90">
        <f t="shared" si="2"/>
        <v>3.9428110066258268</v>
      </c>
      <c r="AG36" s="92">
        <f t="shared" si="2"/>
        <v>3.9330547908351705</v>
      </c>
      <c r="AH36" s="93">
        <f t="shared" si="2"/>
        <v>3.8334386239124472</v>
      </c>
      <c r="AI36" s="92">
        <f t="shared" si="2"/>
        <v>3.8239283165388072</v>
      </c>
    </row>
    <row r="37" spans="3:35" ht="18" hidden="1" customHeight="1" x14ac:dyDescent="0.3">
      <c r="C37" s="44"/>
      <c r="D37" s="45"/>
      <c r="E37" s="46"/>
      <c r="F37" s="6"/>
      <c r="G37" s="7"/>
      <c r="H37" s="7"/>
      <c r="P37" s="188"/>
      <c r="Q37" s="49">
        <v>65</v>
      </c>
      <c r="R37" s="90">
        <f t="shared" si="1"/>
        <v>5.1861276712209516</v>
      </c>
      <c r="S37" s="91">
        <f t="shared" si="1"/>
        <v>5.1754992690226747</v>
      </c>
      <c r="T37" s="90">
        <f t="shared" si="1"/>
        <v>4.8374956905749995</v>
      </c>
      <c r="U37" s="92">
        <f t="shared" si="1"/>
        <v>4.8274388443758047</v>
      </c>
      <c r="V37" s="93">
        <f t="shared" si="1"/>
        <v>4.5669977229134933</v>
      </c>
      <c r="W37" s="91">
        <f t="shared" si="1"/>
        <v>4.5574110855941408</v>
      </c>
      <c r="X37" s="90">
        <f t="shared" si="1"/>
        <v>4.3483693308752835</v>
      </c>
      <c r="Y37" s="92">
        <f t="shared" si="1"/>
        <v>4.3391779060336093</v>
      </c>
      <c r="Z37" s="93">
        <f t="shared" si="1"/>
        <v>4.1663797987005715</v>
      </c>
      <c r="AA37" s="91">
        <f t="shared" si="1"/>
        <v>4.157526709725043</v>
      </c>
      <c r="AB37" s="90">
        <f t="shared" si="2"/>
        <v>4.0114771016868263</v>
      </c>
      <c r="AC37" s="92">
        <f t="shared" si="2"/>
        <v>4.002918130054665</v>
      </c>
      <c r="AD37" s="93">
        <f t="shared" si="2"/>
        <v>3.87731099476912</v>
      </c>
      <c r="AE37" s="91">
        <f t="shared" si="2"/>
        <v>3.8690109922694593</v>
      </c>
      <c r="AF37" s="90">
        <f t="shared" si="2"/>
        <v>3.7594647312296656</v>
      </c>
      <c r="AG37" s="92">
        <f t="shared" si="2"/>
        <v>3.7513952173152281</v>
      </c>
      <c r="AH37" s="93">
        <f t="shared" si="2"/>
        <v>3.6547535333401151</v>
      </c>
      <c r="AI37" s="92">
        <f t="shared" si="2"/>
        <v>3.6468910447505483</v>
      </c>
    </row>
    <row r="38" spans="3:35" ht="18" hidden="1" customHeight="1" x14ac:dyDescent="0.3">
      <c r="C38" s="44"/>
      <c r="D38" s="45"/>
      <c r="E38" s="46"/>
      <c r="F38" s="6"/>
      <c r="G38" s="7"/>
      <c r="H38" s="7"/>
      <c r="P38" s="188"/>
      <c r="Q38" s="50">
        <v>90</v>
      </c>
      <c r="R38" s="95">
        <f t="shared" si="1"/>
        <v>4.7304905650494344</v>
      </c>
      <c r="S38" s="96">
        <f t="shared" si="1"/>
        <v>4.7231259721231327</v>
      </c>
      <c r="T38" s="95">
        <f t="shared" si="1"/>
        <v>4.4073666209637317</v>
      </c>
      <c r="U38" s="97">
        <f t="shared" si="1"/>
        <v>4.4004301917196722</v>
      </c>
      <c r="V38" s="98">
        <f t="shared" si="1"/>
        <v>4.1576309532192681</v>
      </c>
      <c r="W38" s="96">
        <f t="shared" si="1"/>
        <v>4.1510396058219436</v>
      </c>
      <c r="X38" s="95">
        <f t="shared" si="1"/>
        <v>3.9563311084192754</v>
      </c>
      <c r="Y38" s="97">
        <f t="shared" si="1"/>
        <v>3.9500258846498237</v>
      </c>
      <c r="Z38" s="98">
        <f t="shared" si="1"/>
        <v>3.7891024283734942</v>
      </c>
      <c r="AA38" s="96">
        <f t="shared" si="1"/>
        <v>3.7830397879339146</v>
      </c>
      <c r="AB38" s="95">
        <f t="shared" si="2"/>
        <v>3.6469836192668277</v>
      </c>
      <c r="AC38" s="97">
        <f t="shared" si="2"/>
        <v>3.6411303312101881</v>
      </c>
      <c r="AD38" s="98">
        <f t="shared" si="2"/>
        <v>3.5240410972494205</v>
      </c>
      <c r="AE38" s="96">
        <f t="shared" si="2"/>
        <v>3.5183711041346544</v>
      </c>
      <c r="AF38" s="95">
        <f t="shared" si="2"/>
        <v>3.4161609725922624</v>
      </c>
      <c r="AG38" s="97">
        <f t="shared" si="2"/>
        <v>3.4106533798477323</v>
      </c>
      <c r="AH38" s="98">
        <f t="shared" si="2"/>
        <v>3.3203844380745369</v>
      </c>
      <c r="AI38" s="97">
        <f t="shared" si="2"/>
        <v>3.3150221743392989</v>
      </c>
    </row>
    <row r="39" spans="3:35" ht="18" hidden="1" customHeight="1" x14ac:dyDescent="0.25">
      <c r="C39" s="44"/>
      <c r="D39" s="44"/>
      <c r="E39" s="130"/>
      <c r="F39" s="8"/>
      <c r="G39" s="7"/>
      <c r="H39" s="7"/>
      <c r="P39" s="188"/>
      <c r="Q39" s="111">
        <v>140</v>
      </c>
      <c r="R39" s="122">
        <f t="shared" si="1"/>
        <v>4.148955133529233</v>
      </c>
      <c r="S39" s="123">
        <f t="shared" si="1"/>
        <v>4.1445928013571818</v>
      </c>
      <c r="T39" s="122">
        <f t="shared" si="1"/>
        <v>3.8609754142777382</v>
      </c>
      <c r="U39" s="124">
        <f t="shared" si="1"/>
        <v>3.8568860554630309</v>
      </c>
      <c r="V39" s="125">
        <f t="shared" si="1"/>
        <v>3.6392793611596179</v>
      </c>
      <c r="W39" s="123">
        <f t="shared" si="1"/>
        <v>3.6354058450639242</v>
      </c>
      <c r="X39" s="122">
        <f t="shared" si="1"/>
        <v>3.4610717221256619</v>
      </c>
      <c r="Y39" s="124">
        <f t="shared" si="1"/>
        <v>3.4573748901897603</v>
      </c>
      <c r="Z39" s="125">
        <f t="shared" si="1"/>
        <v>3.3133265242389767</v>
      </c>
      <c r="AA39" s="123">
        <f t="shared" si="1"/>
        <v>3.3097781146644412</v>
      </c>
      <c r="AB39" s="122">
        <f t="shared" si="2"/>
        <v>3.1879609514747584</v>
      </c>
      <c r="AC39" s="124">
        <f t="shared" si="2"/>
        <v>3.1845397443861474</v>
      </c>
      <c r="AD39" s="125">
        <f t="shared" si="2"/>
        <v>3.0796447453075086</v>
      </c>
      <c r="AE39" s="123">
        <f t="shared" si="2"/>
        <v>3.0763343045616933</v>
      </c>
      <c r="AF39" s="122">
        <f t="shared" si="2"/>
        <v>2.9846940626131517</v>
      </c>
      <c r="AG39" s="124">
        <f t="shared" si="2"/>
        <v>2.9814813340279951</v>
      </c>
      <c r="AH39" s="125">
        <f t="shared" si="2"/>
        <v>2.9004661931849882</v>
      </c>
      <c r="AI39" s="124">
        <f t="shared" si="2"/>
        <v>2.8973405925750746</v>
      </c>
    </row>
    <row r="40" spans="3:35" ht="18" customHeight="1" x14ac:dyDescent="0.3">
      <c r="C40" s="133">
        <v>2</v>
      </c>
      <c r="D40" s="163" t="s">
        <v>57</v>
      </c>
      <c r="E40" s="132">
        <f>1.07*((((384*$H$13*100000)/(5*$E25*E10))^(1/3))/100)</f>
        <v>4.965118247761982</v>
      </c>
      <c r="F40" s="8"/>
      <c r="G40" s="7"/>
      <c r="H40" s="7"/>
      <c r="P40" s="84" t="s">
        <v>66</v>
      </c>
    </row>
    <row r="41" spans="3:35" ht="18" customHeight="1" x14ac:dyDescent="0.25">
      <c r="C41" s="44"/>
      <c r="D41" s="45"/>
      <c r="E41" s="46"/>
      <c r="F41" s="8"/>
      <c r="G41" s="7"/>
      <c r="H41" s="7"/>
      <c r="P41" s="185" t="s">
        <v>39</v>
      </c>
      <c r="Q41" s="142">
        <v>45</v>
      </c>
      <c r="R41" s="146">
        <f>1.07*((((384*$H$13*100000)/(5*((((VLOOKUP(R$34,$I$8:$J$18,2))*$Q41)*R$33/2)+((($E$9*(1-0.088))+($E$19/$E$6))*((R$33/COS(R$34*PI()/180))/2))+$E$16)*$E$10))^(1/3))/100)</f>
        <v>5.6360345305705888</v>
      </c>
      <c r="S41" s="146">
        <f t="shared" ref="S41:AI45" si="3">1.07*((((384*$H$13*100000)/(5*((((VLOOKUP(S$34,$I$8:$J$18,2))*$Q41)*S$33/2)+((($E$9*(1-0.088))+($E$19/$E$6))*((S$33/COS(S$34*PI()/180))/2))+$E$16)*$E$10))^(1/3))/100)</f>
        <v>5.5996683288137437</v>
      </c>
      <c r="T41" s="146">
        <f t="shared" si="3"/>
        <v>5.2583688875744681</v>
      </c>
      <c r="U41" s="146">
        <f t="shared" si="3"/>
        <v>5.2239312869648025</v>
      </c>
      <c r="V41" s="146">
        <f>1.07*((((384*$H$13*100000)/(5*((((VLOOKUP(V$34,$I$8:$J$18,2))*$Q41)*V$33/2)+((($E$9*(1-0.088))+($E$19/$E$6))*((V$33/COS(V$34*PI()/180))/2))+$E$16)*$E$10))^(1/3))/100)</f>
        <v>4.965118247761982</v>
      </c>
      <c r="W41" s="146">
        <f t="shared" si="3"/>
        <v>4.9322731600165879</v>
      </c>
      <c r="X41" s="146">
        <f t="shared" si="3"/>
        <v>4.7279718527912289</v>
      </c>
      <c r="Y41" s="146">
        <f t="shared" si="3"/>
        <v>4.6964685354304763</v>
      </c>
      <c r="Z41" s="146">
        <f t="shared" si="3"/>
        <v>4.5304884647009072</v>
      </c>
      <c r="AA41" s="146">
        <f t="shared" si="3"/>
        <v>4.5001357973892802</v>
      </c>
      <c r="AB41" s="146">
        <f t="shared" si="3"/>
        <v>4.3623459746773436</v>
      </c>
      <c r="AC41" s="146">
        <f t="shared" si="3"/>
        <v>4.3329948605233577</v>
      </c>
      <c r="AD41" s="146">
        <f t="shared" si="3"/>
        <v>4.2166766560960163</v>
      </c>
      <c r="AE41" s="146">
        <f t="shared" si="3"/>
        <v>4.1882082849759579</v>
      </c>
      <c r="AF41" s="146">
        <f t="shared" si="3"/>
        <v>4.0887008103278699</v>
      </c>
      <c r="AG41" s="146">
        <f t="shared" si="3"/>
        <v>4.0610187269164459</v>
      </c>
      <c r="AH41" s="146">
        <f t="shared" si="3"/>
        <v>3.9749701766970036</v>
      </c>
      <c r="AI41" s="147">
        <f t="shared" si="3"/>
        <v>3.9479947982687849</v>
      </c>
    </row>
    <row r="42" spans="3:35" ht="18" customHeight="1" x14ac:dyDescent="0.25">
      <c r="C42" s="44"/>
      <c r="D42" s="45"/>
      <c r="E42" s="46"/>
      <c r="F42" s="8"/>
      <c r="G42" s="7"/>
      <c r="H42" s="7"/>
      <c r="P42" s="189"/>
      <c r="Q42" s="143">
        <v>55</v>
      </c>
      <c r="R42" s="145">
        <f t="shared" ref="R42:AG45" si="4">1.07*((((384*$H$13*100000)/(5*((((VLOOKUP(R$34,$I$8:$J$18,2))*$Q42)*R$33/2)+((($E$9*(1-0.088))+($E$19/$E$6))*((R$33/COS(R$34*PI()/180))/2))+$E$16)*$E$10))^(1/3))/100)</f>
        <v>5.4060452028479453</v>
      </c>
      <c r="S42" s="145">
        <f t="shared" si="4"/>
        <v>5.3752148582913044</v>
      </c>
      <c r="T42" s="145">
        <f t="shared" si="4"/>
        <v>5.0407962696181601</v>
      </c>
      <c r="U42" s="145">
        <f t="shared" si="4"/>
        <v>5.0116689644148371</v>
      </c>
      <c r="V42" s="145">
        <f t="shared" si="4"/>
        <v>4.7577498766828139</v>
      </c>
      <c r="W42" s="145">
        <f t="shared" si="4"/>
        <v>4.7300137103018907</v>
      </c>
      <c r="X42" s="145">
        <f t="shared" si="4"/>
        <v>4.5291742781000917</v>
      </c>
      <c r="Y42" s="145">
        <f t="shared" si="4"/>
        <v>4.5026019067161718</v>
      </c>
      <c r="Z42" s="145">
        <f t="shared" si="4"/>
        <v>4.3390246505301615</v>
      </c>
      <c r="AA42" s="145">
        <f t="shared" si="4"/>
        <v>4.3134452792048057</v>
      </c>
      <c r="AB42" s="145">
        <f t="shared" si="4"/>
        <v>4.1772551237565727</v>
      </c>
      <c r="AC42" s="145">
        <f t="shared" si="4"/>
        <v>4.1525368284441369</v>
      </c>
      <c r="AD42" s="145">
        <f t="shared" si="4"/>
        <v>4.0371955932647206</v>
      </c>
      <c r="AE42" s="145">
        <f t="shared" si="4"/>
        <v>4.0132340084731766</v>
      </c>
      <c r="AF42" s="145">
        <f t="shared" si="4"/>
        <v>3.9142114682356817</v>
      </c>
      <c r="AG42" s="145">
        <f t="shared" si="4"/>
        <v>3.8909223340353285</v>
      </c>
      <c r="AH42" s="145">
        <f t="shared" si="3"/>
        <v>3.8049635857970823</v>
      </c>
      <c r="AI42" s="148">
        <f t="shared" si="3"/>
        <v>3.7822776854752749</v>
      </c>
    </row>
    <row r="43" spans="3:35" ht="18" customHeight="1" x14ac:dyDescent="0.25">
      <c r="C43" s="44"/>
      <c r="D43" s="45"/>
      <c r="E43" s="46"/>
      <c r="F43" s="8"/>
      <c r="G43" s="7"/>
      <c r="H43" s="7"/>
      <c r="P43" s="189"/>
      <c r="Q43" s="143">
        <v>65</v>
      </c>
      <c r="R43" s="145">
        <f t="shared" si="4"/>
        <v>5.2095240683311186</v>
      </c>
      <c r="S43" s="145">
        <f t="shared" si="3"/>
        <v>5.1829063313011039</v>
      </c>
      <c r="T43" s="145">
        <f t="shared" si="3"/>
        <v>4.8552785595503885</v>
      </c>
      <c r="U43" s="145">
        <f t="shared" si="3"/>
        <v>4.8301774619692415</v>
      </c>
      <c r="V43" s="145">
        <f t="shared" si="3"/>
        <v>4.5811883554920501</v>
      </c>
      <c r="W43" s="145">
        <f t="shared" si="3"/>
        <v>4.5573160691853545</v>
      </c>
      <c r="X43" s="145">
        <f t="shared" si="3"/>
        <v>4.3600876336184982</v>
      </c>
      <c r="Y43" s="145">
        <f t="shared" si="3"/>
        <v>4.3372377986759689</v>
      </c>
      <c r="Z43" s="145">
        <f t="shared" si="3"/>
        <v>4.1763051855117332</v>
      </c>
      <c r="AA43" s="145">
        <f t="shared" si="3"/>
        <v>4.1543243932637388</v>
      </c>
      <c r="AB43" s="145">
        <f t="shared" si="3"/>
        <v>4.0200499894659707</v>
      </c>
      <c r="AC43" s="145">
        <f t="shared" si="3"/>
        <v>3.998820608966049</v>
      </c>
      <c r="AD43" s="145">
        <f t="shared" si="3"/>
        <v>3.8848316947715191</v>
      </c>
      <c r="AE43" s="145">
        <f t="shared" si="3"/>
        <v>3.8642611687508639</v>
      </c>
      <c r="AF43" s="145">
        <f t="shared" si="3"/>
        <v>3.7661463668473285</v>
      </c>
      <c r="AG43" s="145">
        <f t="shared" si="3"/>
        <v>3.7461602784398149</v>
      </c>
      <c r="AH43" s="145">
        <f t="shared" si="3"/>
        <v>3.6607523282581704</v>
      </c>
      <c r="AI43" s="148">
        <f t="shared" si="3"/>
        <v>3.6412897476996799</v>
      </c>
    </row>
    <row r="44" spans="3:35" ht="18" customHeight="1" x14ac:dyDescent="0.25">
      <c r="C44" s="44"/>
      <c r="D44" s="45"/>
      <c r="E44" s="46"/>
      <c r="F44" s="8"/>
      <c r="G44" s="7"/>
      <c r="H44" s="7"/>
      <c r="P44" s="189"/>
      <c r="Q44" s="144">
        <v>90</v>
      </c>
      <c r="R44" s="145">
        <f t="shared" si="4"/>
        <v>4.8196349521251634</v>
      </c>
      <c r="S44" s="145">
        <f t="shared" si="3"/>
        <v>4.8000934744301418</v>
      </c>
      <c r="T44" s="145">
        <f t="shared" si="3"/>
        <v>4.4881842393784552</v>
      </c>
      <c r="U44" s="145">
        <f t="shared" si="3"/>
        <v>4.4698163019057588</v>
      </c>
      <c r="V44" s="145">
        <f t="shared" si="3"/>
        <v>4.2324384959308476</v>
      </c>
      <c r="W44" s="145">
        <f t="shared" si="3"/>
        <v>4.2150084267505274</v>
      </c>
      <c r="X44" s="145">
        <f t="shared" si="3"/>
        <v>4.0265330800939285</v>
      </c>
      <c r="Y44" s="145">
        <f t="shared" si="3"/>
        <v>4.009876257648135</v>
      </c>
      <c r="Z44" s="145">
        <f t="shared" si="3"/>
        <v>3.855624586048275</v>
      </c>
      <c r="AA44" s="145">
        <f t="shared" si="3"/>
        <v>3.8396206896829153</v>
      </c>
      <c r="AB44" s="145">
        <f t="shared" si="3"/>
        <v>3.7104739251060845</v>
      </c>
      <c r="AC44" s="145">
        <f t="shared" si="3"/>
        <v>3.6950317938887518</v>
      </c>
      <c r="AD44" s="145">
        <f t="shared" si="3"/>
        <v>3.5849740386300057</v>
      </c>
      <c r="AE44" s="145">
        <f t="shared" si="3"/>
        <v>3.5700225805622332</v>
      </c>
      <c r="AF44" s="145">
        <f t="shared" si="3"/>
        <v>3.4748964545479901</v>
      </c>
      <c r="AG44" s="145">
        <f t="shared" si="3"/>
        <v>3.4603789050640636</v>
      </c>
      <c r="AH44" s="145">
        <f t="shared" si="3"/>
        <v>3.3772032558884608</v>
      </c>
      <c r="AI44" s="148">
        <f t="shared" si="3"/>
        <v>3.3630733942209994</v>
      </c>
    </row>
    <row r="45" spans="3:35" ht="18" customHeight="1" x14ac:dyDescent="0.3">
      <c r="C45" s="129"/>
      <c r="D45" s="129"/>
      <c r="E45" s="130"/>
      <c r="F45" s="6"/>
      <c r="G45" s="7"/>
      <c r="H45" s="7"/>
      <c r="P45" s="190"/>
      <c r="Q45" s="149">
        <v>140</v>
      </c>
      <c r="R45" s="150">
        <f t="shared" si="4"/>
        <v>4.2917168482684014</v>
      </c>
      <c r="S45" s="150">
        <f t="shared" si="3"/>
        <v>4.2794011501282707</v>
      </c>
      <c r="T45" s="150">
        <f t="shared" si="3"/>
        <v>3.9928828226516258</v>
      </c>
      <c r="U45" s="150">
        <f t="shared" si="3"/>
        <v>3.9813489664157635</v>
      </c>
      <c r="V45" s="150">
        <f t="shared" si="3"/>
        <v>3.7630118948115392</v>
      </c>
      <c r="W45" s="150">
        <f t="shared" si="3"/>
        <v>3.7520939538989087</v>
      </c>
      <c r="X45" s="150">
        <f t="shared" si="3"/>
        <v>3.5783339825501375</v>
      </c>
      <c r="Y45" s="150">
        <f t="shared" si="3"/>
        <v>3.5679189498971882</v>
      </c>
      <c r="Z45" s="150">
        <f t="shared" si="3"/>
        <v>3.4252860672384333</v>
      </c>
      <c r="AA45" s="150">
        <f t="shared" si="3"/>
        <v>3.4152927325010762</v>
      </c>
      <c r="AB45" s="150">
        <f t="shared" si="3"/>
        <v>3.2954610179815971</v>
      </c>
      <c r="AC45" s="150">
        <f t="shared" si="3"/>
        <v>3.285828594769554</v>
      </c>
      <c r="AD45" s="150">
        <f t="shared" si="3"/>
        <v>3.1833191564059637</v>
      </c>
      <c r="AE45" s="150">
        <f t="shared" si="3"/>
        <v>3.1740006722781917</v>
      </c>
      <c r="AF45" s="150">
        <f t="shared" si="3"/>
        <v>3.0850343160669662</v>
      </c>
      <c r="AG45" s="150">
        <f t="shared" si="3"/>
        <v>3.0759925324463482</v>
      </c>
      <c r="AH45" s="150">
        <f t="shared" si="3"/>
        <v>2.9978630800460597</v>
      </c>
      <c r="AI45" s="151">
        <f t="shared" si="3"/>
        <v>2.989067849058396</v>
      </c>
    </row>
    <row r="46" spans="3:35" ht="18" hidden="1" customHeight="1" x14ac:dyDescent="0.3">
      <c r="C46" s="133">
        <v>3</v>
      </c>
      <c r="D46" s="136" t="s">
        <v>33</v>
      </c>
      <c r="E46" s="132">
        <f>(((384*$H$14*100000)/(5*$E27*E10))^(1/3))/100</f>
        <v>6.4051559271503633</v>
      </c>
      <c r="F46" s="6"/>
      <c r="G46" s="7"/>
      <c r="H46" s="7"/>
      <c r="P46" s="84" t="s">
        <v>48</v>
      </c>
    </row>
    <row r="47" spans="3:35" ht="18" hidden="1" customHeight="1" x14ac:dyDescent="0.3">
      <c r="C47" s="44"/>
      <c r="D47" s="137" t="s">
        <v>56</v>
      </c>
      <c r="E47" s="46"/>
      <c r="F47" s="6"/>
      <c r="G47" s="7"/>
      <c r="H47" s="7"/>
      <c r="P47" s="183" t="s">
        <v>39</v>
      </c>
      <c r="Q47" s="48">
        <v>45</v>
      </c>
      <c r="R47" s="85">
        <f t="shared" ref="R47:AA51" si="5">(((384*$H$14*100000)/(5*((((VLOOKUP(R$34,$I$8:$J$18,2))*$Q47)*R$33/2)+((($E$9*(1-0.088))+($E$18/$E$6))*((R$33/COS(R$34*PI()/180))/2))+$E$17)*$E$10))^(1/3))/100</f>
        <v>7.1252547534669395</v>
      </c>
      <c r="S47" s="86">
        <f t="shared" si="5"/>
        <v>7.1089557588378103</v>
      </c>
      <c r="T47" s="85">
        <f t="shared" si="5"/>
        <v>6.7270429381687373</v>
      </c>
      <c r="U47" s="87">
        <f t="shared" si="5"/>
        <v>6.7108597880543757</v>
      </c>
      <c r="V47" s="88">
        <f t="shared" si="5"/>
        <v>6.4051559271503633</v>
      </c>
      <c r="W47" s="86">
        <f t="shared" si="5"/>
        <v>6.3891974461782146</v>
      </c>
      <c r="X47" s="85">
        <f t="shared" si="5"/>
        <v>6.1371910044476543</v>
      </c>
      <c r="Y47" s="87">
        <f t="shared" si="5"/>
        <v>6.1215003414228102</v>
      </c>
      <c r="Z47" s="88">
        <f t="shared" si="5"/>
        <v>5.9090952343496959</v>
      </c>
      <c r="AA47" s="86">
        <f t="shared" si="5"/>
        <v>5.893685538485645</v>
      </c>
      <c r="AB47" s="85">
        <f t="shared" ref="AB47:AI51" si="6">(((384*$H$14*100000)/(5*((((VLOOKUP(AB$34,$I$8:$J$18,2))*$Q47)*AB$33/2)+((($E$9*(1-0.088))+($E$18/$E$6))*((AB$33/COS(AB$34*PI()/180))/2))+$E$17)*$E$10))^(1/3))/100</f>
        <v>5.711524642954303</v>
      </c>
      <c r="AC47" s="87">
        <f t="shared" si="6"/>
        <v>5.6963947822656236</v>
      </c>
      <c r="AD47" s="88">
        <f t="shared" si="6"/>
        <v>5.5379794540272682</v>
      </c>
      <c r="AE47" s="86">
        <f t="shared" si="6"/>
        <v>5.5231214663796218</v>
      </c>
      <c r="AF47" s="85">
        <f t="shared" si="6"/>
        <v>5.3837724041628867</v>
      </c>
      <c r="AG47" s="87">
        <f t="shared" si="6"/>
        <v>5.3691752120542562</v>
      </c>
      <c r="AH47" s="88">
        <f t="shared" si="6"/>
        <v>5.2454222058443438</v>
      </c>
      <c r="AI47" s="87">
        <f t="shared" si="6"/>
        <v>5.231073528220322</v>
      </c>
    </row>
    <row r="48" spans="3:35" ht="18" hidden="1" customHeight="1" x14ac:dyDescent="0.3">
      <c r="C48" s="44"/>
      <c r="D48" s="45"/>
      <c r="E48" s="46"/>
      <c r="F48" s="6"/>
      <c r="G48" s="7"/>
      <c r="H48" s="7"/>
      <c r="P48" s="188"/>
      <c r="Q48" s="49">
        <v>55</v>
      </c>
      <c r="R48" s="90">
        <f t="shared" si="5"/>
        <v>6.8169547473220584</v>
      </c>
      <c r="S48" s="91">
        <f t="shared" si="5"/>
        <v>6.8032910729442824</v>
      </c>
      <c r="T48" s="90">
        <f t="shared" si="5"/>
        <v>6.4221911945106296</v>
      </c>
      <c r="U48" s="92">
        <f t="shared" si="5"/>
        <v>6.4087397085096596</v>
      </c>
      <c r="V48" s="93">
        <f t="shared" si="5"/>
        <v>6.105429026428947</v>
      </c>
      <c r="W48" s="91">
        <f t="shared" si="5"/>
        <v>6.0922456416321369</v>
      </c>
      <c r="X48" s="90">
        <f t="shared" si="5"/>
        <v>5.8431563142373912</v>
      </c>
      <c r="Y48" s="92">
        <f t="shared" si="5"/>
        <v>5.8302543298926777</v>
      </c>
      <c r="Z48" s="93">
        <f t="shared" si="5"/>
        <v>5.620833796078105</v>
      </c>
      <c r="AA48" s="91">
        <f t="shared" si="5"/>
        <v>5.6082088865841433</v>
      </c>
      <c r="AB48" s="90">
        <f t="shared" si="6"/>
        <v>5.4288984520838817</v>
      </c>
      <c r="AC48" s="92">
        <f t="shared" si="6"/>
        <v>5.4165390313555069</v>
      </c>
      <c r="AD48" s="93">
        <f t="shared" si="6"/>
        <v>5.2607545955828936</v>
      </c>
      <c r="AE48" s="91">
        <f t="shared" si="6"/>
        <v>5.2486464086107665</v>
      </c>
      <c r="AF48" s="90">
        <f t="shared" si="6"/>
        <v>5.1116784087699498</v>
      </c>
      <c r="AG48" s="92">
        <f t="shared" si="6"/>
        <v>5.099806637050194</v>
      </c>
      <c r="AH48" s="93">
        <f t="shared" si="6"/>
        <v>4.9781813013052787</v>
      </c>
      <c r="AI48" s="92">
        <f t="shared" si="6"/>
        <v>4.9665315291380292</v>
      </c>
    </row>
    <row r="49" spans="3:35" ht="18" hidden="1" customHeight="1" x14ac:dyDescent="0.3">
      <c r="C49" s="44"/>
      <c r="D49" s="45"/>
      <c r="E49" s="46"/>
      <c r="F49" s="6"/>
      <c r="G49" s="7"/>
      <c r="H49" s="7"/>
      <c r="P49" s="188"/>
      <c r="Q49" s="49">
        <v>65</v>
      </c>
      <c r="R49" s="90">
        <f t="shared" si="5"/>
        <v>6.5559176427280041</v>
      </c>
      <c r="S49" s="91">
        <f t="shared" si="5"/>
        <v>6.5442244784050763</v>
      </c>
      <c r="T49" s="90">
        <f t="shared" si="5"/>
        <v>6.1660247272690638</v>
      </c>
      <c r="U49" s="92">
        <f t="shared" si="5"/>
        <v>6.1545889076221227</v>
      </c>
      <c r="V49" s="93">
        <f t="shared" si="5"/>
        <v>5.854939516922693</v>
      </c>
      <c r="W49" s="91">
        <f t="shared" si="5"/>
        <v>5.8437844265795889</v>
      </c>
      <c r="X49" s="90">
        <f t="shared" si="5"/>
        <v>5.5984325660125158</v>
      </c>
      <c r="Y49" s="92">
        <f t="shared" si="5"/>
        <v>5.5875542151080451</v>
      </c>
      <c r="Z49" s="93">
        <f t="shared" si="5"/>
        <v>5.381684331658918</v>
      </c>
      <c r="AA49" s="91">
        <f t="shared" si="5"/>
        <v>5.3710689287338118</v>
      </c>
      <c r="AB49" s="90">
        <f t="shared" si="6"/>
        <v>5.1950275869652351</v>
      </c>
      <c r="AC49" s="92">
        <f t="shared" si="6"/>
        <v>5.1846583427858093</v>
      </c>
      <c r="AD49" s="93">
        <f t="shared" si="6"/>
        <v>5.0318376418251169</v>
      </c>
      <c r="AE49" s="91">
        <f t="shared" si="6"/>
        <v>5.0216975259258279</v>
      </c>
      <c r="AF49" s="90">
        <f t="shared" si="6"/>
        <v>4.8873944362680612</v>
      </c>
      <c r="AG49" s="92">
        <f t="shared" si="6"/>
        <v>4.8774672821329457</v>
      </c>
      <c r="AH49" s="93">
        <f t="shared" si="6"/>
        <v>4.7582269706851434</v>
      </c>
      <c r="AI49" s="92">
        <f t="shared" si="6"/>
        <v>4.7484978719202804</v>
      </c>
    </row>
    <row r="50" spans="3:35" ht="18" hidden="1" customHeight="1" x14ac:dyDescent="0.3">
      <c r="C50" s="44"/>
      <c r="D50" s="45"/>
      <c r="E50" s="46"/>
      <c r="F50" s="6"/>
      <c r="G50" s="7"/>
      <c r="H50" s="7"/>
      <c r="P50" s="188"/>
      <c r="Q50" s="50">
        <v>90</v>
      </c>
      <c r="R50" s="95">
        <f t="shared" si="5"/>
        <v>6.0438247318344738</v>
      </c>
      <c r="S50" s="96">
        <f t="shared" si="5"/>
        <v>6.0353723183826444</v>
      </c>
      <c r="T50" s="95">
        <f t="shared" si="5"/>
        <v>5.6680793798524505</v>
      </c>
      <c r="U50" s="97">
        <f t="shared" si="5"/>
        <v>5.6599069856468676</v>
      </c>
      <c r="V50" s="98">
        <f t="shared" si="5"/>
        <v>5.3711939608535921</v>
      </c>
      <c r="W50" s="96">
        <f t="shared" si="5"/>
        <v>5.363286378015772</v>
      </c>
      <c r="X50" s="95">
        <f t="shared" si="5"/>
        <v>5.1281182482356744</v>
      </c>
      <c r="Y50" s="97">
        <f t="shared" si="5"/>
        <v>5.1204531145409753</v>
      </c>
      <c r="Z50" s="98">
        <f t="shared" si="5"/>
        <v>4.9238153178207593</v>
      </c>
      <c r="AA50" s="96">
        <f t="shared" si="5"/>
        <v>4.9163702014639679</v>
      </c>
      <c r="AB50" s="95">
        <f t="shared" si="6"/>
        <v>4.7486124484539252</v>
      </c>
      <c r="AC50" s="97">
        <f t="shared" si="6"/>
        <v>4.7413668890946781</v>
      </c>
      <c r="AD50" s="98">
        <f t="shared" si="6"/>
        <v>4.5959527932805777</v>
      </c>
      <c r="AE50" s="96">
        <f t="shared" si="6"/>
        <v>4.588888723225808</v>
      </c>
      <c r="AF50" s="95">
        <f t="shared" si="6"/>
        <v>4.4612050285038487</v>
      </c>
      <c r="AG50" s="97">
        <f t="shared" si="6"/>
        <v>4.4543066646090441</v>
      </c>
      <c r="AH50" s="98">
        <f t="shared" si="6"/>
        <v>4.3409875301797749</v>
      </c>
      <c r="AI50" s="97">
        <f t="shared" si="6"/>
        <v>4.3342411117236557</v>
      </c>
    </row>
    <row r="51" spans="3:35" ht="18" hidden="1" customHeight="1" x14ac:dyDescent="0.25">
      <c r="C51" s="44"/>
      <c r="D51" s="44"/>
      <c r="E51" s="130"/>
      <c r="F51" s="8"/>
      <c r="G51" s="7"/>
      <c r="H51" s="7"/>
      <c r="P51" s="188"/>
      <c r="Q51" s="117">
        <v>140</v>
      </c>
      <c r="R51" s="127">
        <f t="shared" si="5"/>
        <v>5.3607849090404294</v>
      </c>
      <c r="S51" s="127">
        <f t="shared" si="5"/>
        <v>5.3555487390377117</v>
      </c>
      <c r="T51" s="127">
        <f t="shared" si="5"/>
        <v>5.0118756071092179</v>
      </c>
      <c r="U51" s="127">
        <f t="shared" si="5"/>
        <v>5.0068753405969764</v>
      </c>
      <c r="V51" s="127">
        <f t="shared" si="5"/>
        <v>4.7390751669681253</v>
      </c>
      <c r="W51" s="127">
        <f t="shared" si="5"/>
        <v>4.7342785495704014</v>
      </c>
      <c r="X51" s="127">
        <f t="shared" si="5"/>
        <v>4.5173880533435229</v>
      </c>
      <c r="Y51" s="127">
        <f t="shared" si="5"/>
        <v>4.512767990665945</v>
      </c>
      <c r="Z51" s="127">
        <f t="shared" si="5"/>
        <v>4.3321074235846133</v>
      </c>
      <c r="AA51" s="127">
        <f t="shared" si="5"/>
        <v>4.3276418211674965</v>
      </c>
      <c r="AB51" s="127">
        <f t="shared" si="6"/>
        <v>4.1739115136123068</v>
      </c>
      <c r="AC51" s="127">
        <f t="shared" si="6"/>
        <v>4.1695823588576841</v>
      </c>
      <c r="AD51" s="127">
        <f t="shared" si="6"/>
        <v>4.0365527685306981</v>
      </c>
      <c r="AE51" s="127">
        <f t="shared" si="6"/>
        <v>4.032345253278157</v>
      </c>
      <c r="AF51" s="127">
        <f t="shared" si="6"/>
        <v>3.9156579797032207</v>
      </c>
      <c r="AG51" s="127">
        <f t="shared" si="6"/>
        <v>3.9115597986236406</v>
      </c>
      <c r="AH51" s="127">
        <f t="shared" si="6"/>
        <v>3.8080573703638421</v>
      </c>
      <c r="AI51" s="127">
        <f t="shared" si="6"/>
        <v>3.8040581851122783</v>
      </c>
    </row>
    <row r="52" spans="3:35" ht="18" customHeight="1" x14ac:dyDescent="0.3">
      <c r="C52" s="134">
        <v>4</v>
      </c>
      <c r="D52" s="163" t="s">
        <v>58</v>
      </c>
      <c r="E52" s="135">
        <f>1.07*((((384*$H$14*100000)/(5*$E29*E10))^(1/3))/100)</f>
        <v>6.3557389593000844</v>
      </c>
      <c r="P52" s="84" t="s">
        <v>67</v>
      </c>
    </row>
    <row r="53" spans="3:35" ht="18" customHeight="1" x14ac:dyDescent="0.25">
      <c r="D53" s="45"/>
      <c r="E53" s="42"/>
      <c r="P53" s="185" t="s">
        <v>39</v>
      </c>
      <c r="Q53" s="142">
        <v>45</v>
      </c>
      <c r="R53" s="146">
        <f>1.07*((((384*$H$14*100000)/(5*((((VLOOKUP(R$34,$I$8:$J$18,2))*$Q53)*R$33/2)+((($E$9*(1-0.088))+($E$19/$E$6))*((R$33/COS(R$34*PI()/180))/2))+$E$17)*$E$10))^(1/3))/100)</f>
        <v>7.1099708581191274</v>
      </c>
      <c r="S53" s="146">
        <f t="shared" ref="S53:AI57" si="7">1.07*((((384*$H$14*100000)/(5*((((VLOOKUP(S$34,$I$8:$J$18,2))*$Q53)*S$33/2)+((($E$9*(1-0.088))+($E$19/$E$6))*((S$33/COS(S$34*PI()/180))/2))+$E$17)*$E$10))^(1/3))/100)</f>
        <v>7.0702422566045371</v>
      </c>
      <c r="T53" s="146">
        <f t="shared" si="7"/>
        <v>6.6908068279538355</v>
      </c>
      <c r="U53" s="146">
        <f t="shared" si="7"/>
        <v>6.6518795166815581</v>
      </c>
      <c r="V53" s="146">
        <f t="shared" si="7"/>
        <v>6.3557389593000844</v>
      </c>
      <c r="W53" s="146">
        <f t="shared" si="7"/>
        <v>6.3177163437832196</v>
      </c>
      <c r="X53" s="146">
        <f t="shared" si="7"/>
        <v>6.0790787638975115</v>
      </c>
      <c r="Y53" s="146">
        <f t="shared" si="7"/>
        <v>6.0419622003914908</v>
      </c>
      <c r="Z53" s="146">
        <f t="shared" si="7"/>
        <v>5.8450572748512206</v>
      </c>
      <c r="AA53" s="146">
        <f t="shared" si="7"/>
        <v>5.8088096282404509</v>
      </c>
      <c r="AB53" s="146">
        <f t="shared" si="7"/>
        <v>5.6433598951321349</v>
      </c>
      <c r="AC53" s="146">
        <f t="shared" si="7"/>
        <v>5.6079307117983213</v>
      </c>
      <c r="AD53" s="146">
        <f t="shared" si="7"/>
        <v>5.4669032891150451</v>
      </c>
      <c r="AE53" s="146">
        <f t="shared" si="7"/>
        <v>5.4322393179328596</v>
      </c>
      <c r="AF53" s="146">
        <f t="shared" si="7"/>
        <v>5.3106320083007468</v>
      </c>
      <c r="AG53" s="146">
        <f t="shared" si="7"/>
        <v>5.2766816366079432</v>
      </c>
      <c r="AH53" s="146">
        <f t="shared" si="7"/>
        <v>5.1708232148632129</v>
      </c>
      <c r="AI53" s="147">
        <f t="shared" si="7"/>
        <v>5.137538233116195</v>
      </c>
    </row>
    <row r="54" spans="3:35" ht="18" customHeight="1" x14ac:dyDescent="0.25">
      <c r="P54" s="189"/>
      <c r="Q54" s="143">
        <v>55</v>
      </c>
      <c r="R54" s="145">
        <f t="shared" ref="R54:AG57" si="8">1.07*((((384*$H$14*100000)/(5*((((VLOOKUP(R$34,$I$8:$J$18,2))*$Q54)*R$33/2)+((($E$9*(1-0.088))+($E$19/$E$6))*((R$33/COS(R$34*PI()/180))/2))+$E$17)*$E$10))^(1/3))/100)</f>
        <v>6.8564209287924571</v>
      </c>
      <c r="S54" s="145">
        <f t="shared" si="8"/>
        <v>6.8220238672817732</v>
      </c>
      <c r="T54" s="145">
        <f t="shared" si="8"/>
        <v>6.4429748023275817</v>
      </c>
      <c r="U54" s="145">
        <f t="shared" si="8"/>
        <v>6.4094608588442448</v>
      </c>
      <c r="V54" s="145">
        <f t="shared" si="8"/>
        <v>6.1140856831290451</v>
      </c>
      <c r="W54" s="145">
        <f t="shared" si="8"/>
        <v>6.081481558692535</v>
      </c>
      <c r="X54" s="145">
        <f t="shared" si="8"/>
        <v>5.843489360075707</v>
      </c>
      <c r="Y54" s="145">
        <f t="shared" si="8"/>
        <v>5.8117574058447854</v>
      </c>
      <c r="Z54" s="145">
        <f t="shared" si="8"/>
        <v>5.6152143956333731</v>
      </c>
      <c r="AA54" s="145">
        <f t="shared" si="8"/>
        <v>5.5842972835255527</v>
      </c>
      <c r="AB54" s="145">
        <f t="shared" si="8"/>
        <v>5.4188871882408556</v>
      </c>
      <c r="AC54" s="145">
        <f t="shared" si="8"/>
        <v>5.3887242434194595</v>
      </c>
      <c r="AD54" s="145">
        <f t="shared" si="8"/>
        <v>5.2474229209270913</v>
      </c>
      <c r="AE54" s="145">
        <f t="shared" si="8"/>
        <v>5.2179561869494027</v>
      </c>
      <c r="AF54" s="145">
        <f t="shared" si="8"/>
        <v>5.0957873181827402</v>
      </c>
      <c r="AG54" s="145">
        <f t="shared" si="8"/>
        <v>5.0669636143660348</v>
      </c>
      <c r="AH54" s="145">
        <f t="shared" si="7"/>
        <v>4.9602865076860612</v>
      </c>
      <c r="AI54" s="148">
        <f t="shared" si="7"/>
        <v>4.9320578659033156</v>
      </c>
    </row>
    <row r="55" spans="3:35" ht="18" customHeight="1" x14ac:dyDescent="0.25">
      <c r="P55" s="189"/>
      <c r="Q55" s="143">
        <v>65</v>
      </c>
      <c r="R55" s="145">
        <f t="shared" si="8"/>
        <v>6.6355600947378797</v>
      </c>
      <c r="S55" s="145">
        <f t="shared" si="7"/>
        <v>6.6053572138087118</v>
      </c>
      <c r="T55" s="145">
        <f t="shared" si="7"/>
        <v>6.2282082991641241</v>
      </c>
      <c r="U55" s="145">
        <f t="shared" si="7"/>
        <v>6.1989150186410216</v>
      </c>
      <c r="V55" s="145">
        <f t="shared" si="7"/>
        <v>5.9054405881099106</v>
      </c>
      <c r="W55" s="145">
        <f t="shared" si="7"/>
        <v>5.8770344258130143</v>
      </c>
      <c r="X55" s="145">
        <f t="shared" si="7"/>
        <v>5.6406361777663134</v>
      </c>
      <c r="Y55" s="145">
        <f t="shared" si="7"/>
        <v>5.6130562497258456</v>
      </c>
      <c r="Z55" s="145">
        <f t="shared" si="7"/>
        <v>5.4177287973300912</v>
      </c>
      <c r="AA55" s="145">
        <f t="shared" si="7"/>
        <v>5.390906978769987</v>
      </c>
      <c r="AB55" s="145">
        <f t="shared" si="7"/>
        <v>5.2263419874427832</v>
      </c>
      <c r="AC55" s="145">
        <f t="shared" si="7"/>
        <v>5.2002131305770813</v>
      </c>
      <c r="AD55" s="145">
        <f t="shared" si="7"/>
        <v>5.0594199582456394</v>
      </c>
      <c r="AE55" s="145">
        <f t="shared" si="7"/>
        <v>5.0339249685108429</v>
      </c>
      <c r="AF55" s="145">
        <f t="shared" si="7"/>
        <v>4.9119665904239644</v>
      </c>
      <c r="AG55" s="145">
        <f t="shared" si="7"/>
        <v>4.8870529359045287</v>
      </c>
      <c r="AH55" s="145">
        <f t="shared" si="7"/>
        <v>4.7803265013262246</v>
      </c>
      <c r="AI55" s="148">
        <f t="shared" si="7"/>
        <v>4.7559478124949663</v>
      </c>
    </row>
    <row r="56" spans="3:35" ht="18" customHeight="1" x14ac:dyDescent="0.25">
      <c r="P56" s="189"/>
      <c r="Q56" s="144">
        <v>90</v>
      </c>
      <c r="R56" s="145">
        <f t="shared" si="8"/>
        <v>6.1865954373129624</v>
      </c>
      <c r="S56" s="145">
        <f t="shared" si="7"/>
        <v>6.1637345597784634</v>
      </c>
      <c r="T56" s="145">
        <f t="shared" si="7"/>
        <v>5.7945169924369395</v>
      </c>
      <c r="U56" s="145">
        <f t="shared" si="7"/>
        <v>5.7725293686982564</v>
      </c>
      <c r="V56" s="145">
        <f t="shared" si="7"/>
        <v>5.4860706489732722</v>
      </c>
      <c r="W56" s="145">
        <f t="shared" si="7"/>
        <v>5.4648735848269006</v>
      </c>
      <c r="X56" s="145">
        <f t="shared" si="7"/>
        <v>5.2343153880778521</v>
      </c>
      <c r="Y56" s="145">
        <f t="shared" si="7"/>
        <v>5.2138239745859565</v>
      </c>
      <c r="Z56" s="145">
        <f t="shared" si="7"/>
        <v>5.0232130383597617</v>
      </c>
      <c r="AA56" s="145">
        <f t="shared" si="7"/>
        <v>5.0033513341381113</v>
      </c>
      <c r="AB56" s="145">
        <f t="shared" si="7"/>
        <v>4.8425100401034769</v>
      </c>
      <c r="AC56" s="145">
        <f t="shared" si="7"/>
        <v>4.8232126894444596</v>
      </c>
      <c r="AD56" s="145">
        <f t="shared" si="7"/>
        <v>4.6852887060907511</v>
      </c>
      <c r="AE56" s="145">
        <f t="shared" si="7"/>
        <v>4.6665000152307767</v>
      </c>
      <c r="AF56" s="145">
        <f t="shared" si="7"/>
        <v>4.5466812526331895</v>
      </c>
      <c r="AG56" s="145">
        <f t="shared" si="7"/>
        <v>4.5283537356221961</v>
      </c>
      <c r="AH56" s="145">
        <f t="shared" si="7"/>
        <v>4.4231443277162272</v>
      </c>
      <c r="AI56" s="148">
        <f t="shared" si="7"/>
        <v>4.4052373083595642</v>
      </c>
    </row>
    <row r="57" spans="3:35" ht="18" customHeight="1" x14ac:dyDescent="0.25">
      <c r="P57" s="190"/>
      <c r="Q57" s="149">
        <v>140</v>
      </c>
      <c r="R57" s="150">
        <f t="shared" si="8"/>
        <v>5.5579968289753898</v>
      </c>
      <c r="S57" s="150">
        <f t="shared" si="7"/>
        <v>5.5430743647942826</v>
      </c>
      <c r="T57" s="150">
        <f t="shared" si="7"/>
        <v>5.1928996980362117</v>
      </c>
      <c r="U57" s="150">
        <f t="shared" si="7"/>
        <v>5.1786871567777206</v>
      </c>
      <c r="V57" s="150">
        <f t="shared" si="7"/>
        <v>4.9080608713051532</v>
      </c>
      <c r="W57" s="150">
        <f t="shared" si="7"/>
        <v>4.8944520107175018</v>
      </c>
      <c r="X57" s="150">
        <f t="shared" si="7"/>
        <v>4.6769460005355823</v>
      </c>
      <c r="Y57" s="150">
        <f t="shared" si="7"/>
        <v>4.6638555259454622</v>
      </c>
      <c r="Z57" s="150">
        <f t="shared" si="7"/>
        <v>4.4840068418735886</v>
      </c>
      <c r="AA57" s="150">
        <f t="shared" si="7"/>
        <v>4.4713668853664483</v>
      </c>
      <c r="AB57" s="150">
        <f t="shared" si="7"/>
        <v>4.3194179265386756</v>
      </c>
      <c r="AC57" s="150">
        <f t="shared" si="7"/>
        <v>4.3071740136129089</v>
      </c>
      <c r="AD57" s="150">
        <f t="shared" si="7"/>
        <v>4.1766092641081842</v>
      </c>
      <c r="AE57" s="150">
        <f t="shared" si="7"/>
        <v>4.164717093544624</v>
      </c>
      <c r="AF57" s="150">
        <f t="shared" si="7"/>
        <v>4.0509903208533755</v>
      </c>
      <c r="AG57" s="150">
        <f t="shared" si="7"/>
        <v>4.039413372151893</v>
      </c>
      <c r="AH57" s="150">
        <f t="shared" si="7"/>
        <v>3.9392387182767119</v>
      </c>
      <c r="AI57" s="151">
        <f t="shared" si="7"/>
        <v>3.927946496975534</v>
      </c>
    </row>
    <row r="58" spans="3:35" ht="18" customHeight="1" x14ac:dyDescent="0.25"/>
    <row r="59" spans="3:35" ht="18" customHeight="1" x14ac:dyDescent="0.25"/>
    <row r="60" spans="3:35" ht="18" customHeight="1" x14ac:dyDescent="0.25"/>
    <row r="61" spans="3:35" ht="18" customHeight="1" x14ac:dyDescent="0.25"/>
    <row r="62" spans="3:35" ht="18" customHeight="1" x14ac:dyDescent="0.25"/>
    <row r="63" spans="3:35" ht="18" customHeight="1" x14ac:dyDescent="0.25"/>
    <row r="64" spans="3:35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</sheetData>
  <sheetProtection algorithmName="SHA-512" hashValue="GhdhWFvNSs20ZSRipY6aYUKUD/NF4tIlMb8RouycsJyjAGkNWIUGAbX/5LHv8/9J5BEnAggp4IlyPVCPPDhoTw==" saltValue="smFjs10BBzz9DMEAFtv9aw==" spinCount="100000" sheet="1" objects="1" scenarios="1"/>
  <mergeCells count="14">
    <mergeCell ref="P47:P51"/>
    <mergeCell ref="P53:P57"/>
    <mergeCell ref="P35:P39"/>
    <mergeCell ref="P41:P45"/>
    <mergeCell ref="C31:D31"/>
    <mergeCell ref="D32:E32"/>
    <mergeCell ref="C28:C29"/>
    <mergeCell ref="B2:E2"/>
    <mergeCell ref="I4:K4"/>
    <mergeCell ref="C22:C23"/>
    <mergeCell ref="I22:K22"/>
    <mergeCell ref="I23:K23"/>
    <mergeCell ref="C24:C25"/>
    <mergeCell ref="C26:C27"/>
  </mergeCells>
  <conditionalFormatting sqref="E33:E51">
    <cfRule type="cellIs" dxfId="0" priority="1" stopIfTrue="1" operator="greaterThan">
      <formula>$E$31</formula>
    </cfRule>
  </conditionalFormatting>
  <pageMargins left="0.39370078740157483" right="0" top="0.39370078740157483" bottom="0" header="0" footer="0"/>
  <pageSetup paperSize="8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PORTEE_renf 50x90x3 vitrage</vt:lpstr>
      <vt:lpstr>PORTEE_renf 10x100 vitrage</vt:lpstr>
      <vt:lpstr>PORTEE_renf 50x90x3 plaque</vt:lpstr>
      <vt:lpstr>PORTEE_renf 10x100 plaque</vt:lpstr>
    </vt:vector>
  </TitlesOfParts>
  <Company>FLANDRIA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</dc:creator>
  <cp:lastModifiedBy>Bart COUSSENS</cp:lastModifiedBy>
  <cp:lastPrinted>2020-12-04T10:18:07Z</cp:lastPrinted>
  <dcterms:created xsi:type="dcterms:W3CDTF">2007-01-31T10:45:57Z</dcterms:created>
  <dcterms:modified xsi:type="dcterms:W3CDTF">2021-02-18T09:27:08Z</dcterms:modified>
</cp:coreProperties>
</file>